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marthenshire-my.sharepoint.com/personal/jodavies_carmarthenshire_gov_uk/Documents/Annual Leave Calc/"/>
    </mc:Choice>
  </mc:AlternateContent>
  <xr:revisionPtr revIDLastSave="149" documentId="8_{2543E46D-9835-48DF-BE96-6E877E587CB1}" xr6:coauthVersionLast="47" xr6:coauthVersionMax="47" xr10:uidLastSave="{03A2DF48-A7F0-41F2-9B26-46D8FD9111BE}"/>
  <bookViews>
    <workbookView xWindow="-120" yWindow="-120" windowWidth="29040" windowHeight="15720" activeTab="1" xr2:uid="{00000000-000D-0000-FFFF-FFFF00000000}"/>
  </bookViews>
  <sheets>
    <sheet name="Sick over 1 leave year" sheetId="1" r:id="rId1"/>
    <sheet name="Sick over 2 leave years" sheetId="2" r:id="rId2"/>
    <sheet name="multiple LTS dates in progress" sheetId="3" state="hidden" r:id="rId3"/>
    <sheet name="Sickness Dismissal Date" sheetId="4" r:id="rId4"/>
    <sheet name="Minute Guide" sheetId="5" r:id="rId5"/>
  </sheets>
  <definedNames>
    <definedName name="_xlnm.Print_Area" localSheetId="0">'Sick over 1 leave year'!$J$3:$M$30</definedName>
    <definedName name="_xlnm.Print_Area" localSheetId="1">'Sick over 2 leave years'!$O$16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12" i="2"/>
  <c r="K27" i="1"/>
  <c r="K27" i="2"/>
  <c r="K8" i="2"/>
  <c r="F40" i="2"/>
  <c r="D40" i="2"/>
  <c r="B40" i="2"/>
  <c r="F39" i="2"/>
  <c r="D39" i="2"/>
  <c r="B39" i="2"/>
  <c r="F38" i="2"/>
  <c r="D38" i="2"/>
  <c r="B38" i="2"/>
  <c r="F37" i="2"/>
  <c r="D37" i="2"/>
  <c r="B37" i="2"/>
  <c r="F36" i="2"/>
  <c r="D36" i="2"/>
  <c r="B36" i="2"/>
  <c r="F35" i="2"/>
  <c r="D35" i="2"/>
  <c r="B35" i="2"/>
  <c r="F34" i="2"/>
  <c r="D34" i="2"/>
  <c r="B34" i="2"/>
  <c r="F33" i="2"/>
  <c r="D33" i="2"/>
  <c r="B33" i="2"/>
  <c r="F32" i="2"/>
  <c r="D32" i="2"/>
  <c r="B32" i="2"/>
  <c r="F31" i="2"/>
  <c r="D31" i="2"/>
  <c r="B31" i="2"/>
  <c r="F30" i="2"/>
  <c r="D30" i="2"/>
  <c r="B30" i="2"/>
  <c r="F29" i="2"/>
  <c r="D29" i="2"/>
  <c r="B29" i="2"/>
  <c r="F28" i="2"/>
  <c r="D28" i="2"/>
  <c r="B28" i="2"/>
  <c r="F27" i="2"/>
  <c r="D27" i="2"/>
  <c r="B27" i="2"/>
  <c r="F26" i="2"/>
  <c r="D26" i="2"/>
  <c r="B26" i="2"/>
  <c r="F25" i="2"/>
  <c r="D25" i="2"/>
  <c r="B25" i="2"/>
  <c r="F24" i="2"/>
  <c r="D24" i="2"/>
  <c r="B24" i="2"/>
  <c r="F23" i="2"/>
  <c r="D23" i="2"/>
  <c r="B23" i="2"/>
  <c r="F22" i="2"/>
  <c r="D22" i="2"/>
  <c r="B22" i="2"/>
  <c r="F21" i="2"/>
  <c r="D21" i="2"/>
  <c r="B21" i="2"/>
  <c r="F20" i="2"/>
  <c r="D20" i="2"/>
  <c r="B20" i="2"/>
  <c r="F19" i="2"/>
  <c r="D19" i="2"/>
  <c r="B19" i="2"/>
  <c r="F18" i="2"/>
  <c r="D18" i="2"/>
  <c r="B18" i="2"/>
  <c r="F17" i="2"/>
  <c r="D17" i="2"/>
  <c r="B17" i="2"/>
  <c r="F16" i="2"/>
  <c r="D16" i="2"/>
  <c r="B16" i="2"/>
  <c r="F15" i="2"/>
  <c r="D15" i="2"/>
  <c r="B15" i="2"/>
  <c r="F14" i="2"/>
  <c r="D14" i="2"/>
  <c r="B14" i="2"/>
  <c r="F13" i="2"/>
  <c r="D13" i="2"/>
  <c r="B13" i="2"/>
  <c r="F12" i="2"/>
  <c r="D12" i="2"/>
  <c r="B12" i="2"/>
  <c r="F11" i="2"/>
  <c r="D11" i="2"/>
  <c r="B11" i="2"/>
  <c r="F10" i="2"/>
  <c r="D10" i="2"/>
  <c r="B10" i="2"/>
  <c r="F9" i="2"/>
  <c r="D9" i="2"/>
  <c r="B9" i="2"/>
  <c r="F8" i="2"/>
  <c r="D8" i="2"/>
  <c r="B8" i="2"/>
  <c r="F7" i="2"/>
  <c r="D7" i="2"/>
  <c r="B7" i="2"/>
  <c r="F6" i="2"/>
  <c r="D6" i="2"/>
  <c r="B6" i="2"/>
  <c r="F5" i="2"/>
  <c r="D5" i="2"/>
  <c r="B5" i="2"/>
  <c r="F4" i="2"/>
  <c r="D4" i="2"/>
  <c r="B4" i="2"/>
  <c r="F40" i="1"/>
  <c r="D40" i="1"/>
  <c r="B40" i="1"/>
  <c r="F39" i="1"/>
  <c r="D39" i="1"/>
  <c r="B39" i="1"/>
  <c r="F38" i="1"/>
  <c r="D38" i="1"/>
  <c r="B38" i="1"/>
  <c r="F37" i="1"/>
  <c r="D37" i="1"/>
  <c r="B37" i="1"/>
  <c r="F36" i="1"/>
  <c r="D36" i="1"/>
  <c r="B36" i="1"/>
  <c r="F35" i="1"/>
  <c r="D35" i="1"/>
  <c r="B35" i="1"/>
  <c r="F34" i="1"/>
  <c r="D34" i="1"/>
  <c r="B34" i="1"/>
  <c r="F33" i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9" i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  <c r="F13" i="1"/>
  <c r="D13" i="1"/>
  <c r="B13" i="1"/>
  <c r="F12" i="1"/>
  <c r="D12" i="1"/>
  <c r="B12" i="1"/>
  <c r="F11" i="1"/>
  <c r="D11" i="1"/>
  <c r="B11" i="1"/>
  <c r="F10" i="1"/>
  <c r="D10" i="1"/>
  <c r="B10" i="1"/>
  <c r="F9" i="1"/>
  <c r="D9" i="1"/>
  <c r="B9" i="1"/>
  <c r="F8" i="1"/>
  <c r="D8" i="1"/>
  <c r="B8" i="1"/>
  <c r="F7" i="1"/>
  <c r="D7" i="1"/>
  <c r="B7" i="1"/>
  <c r="F6" i="1"/>
  <c r="D6" i="1"/>
  <c r="B6" i="1"/>
  <c r="F5" i="1"/>
  <c r="D5" i="1"/>
  <c r="B5" i="1"/>
  <c r="F4" i="1"/>
  <c r="D4" i="1"/>
  <c r="B4" i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B4" i="4"/>
  <c r="H43" i="1"/>
  <c r="K5" i="1"/>
  <c r="K8" i="1"/>
  <c r="K16" i="1"/>
  <c r="K17" i="1" s="1"/>
  <c r="K18" i="1" s="1"/>
  <c r="R16" i="3"/>
  <c r="P17" i="3"/>
  <c r="P29" i="3"/>
  <c r="K4" i="3"/>
  <c r="P24" i="3"/>
  <c r="K23" i="3"/>
  <c r="R29" i="3"/>
  <c r="R22" i="3"/>
  <c r="P22" i="3"/>
  <c r="R21" i="3"/>
  <c r="R17" i="3"/>
  <c r="R12" i="3"/>
  <c r="P11" i="3"/>
  <c r="R10" i="3"/>
  <c r="P12" i="3"/>
  <c r="R11" i="3"/>
  <c r="P21" i="3"/>
  <c r="P16" i="3"/>
  <c r="P10" i="3"/>
  <c r="K7" i="3"/>
  <c r="K22" i="3"/>
  <c r="M22" i="3"/>
  <c r="K20" i="3"/>
  <c r="K21" i="3"/>
  <c r="K27" i="3"/>
  <c r="M27" i="3"/>
  <c r="K15" i="3"/>
  <c r="K33" i="3"/>
  <c r="K16" i="2"/>
  <c r="K17" i="2" s="1"/>
  <c r="K17" i="3"/>
  <c r="M17" i="3"/>
  <c r="R24" i="3"/>
  <c r="K11" i="3"/>
  <c r="M11" i="3"/>
  <c r="M21" i="3"/>
  <c r="K24" i="3"/>
  <c r="K26" i="3"/>
  <c r="M26" i="3"/>
  <c r="K10" i="3"/>
  <c r="K12" i="3"/>
  <c r="M12" i="3"/>
  <c r="K16" i="3"/>
  <c r="M16" i="3"/>
  <c r="K32" i="3"/>
  <c r="M32" i="3"/>
  <c r="M10" i="3"/>
  <c r="K30" i="3"/>
  <c r="M30" i="3"/>
  <c r="M18" i="1" l="1"/>
  <c r="K19" i="2"/>
  <c r="M19" i="2" s="1"/>
  <c r="K13" i="2"/>
  <c r="M13" i="2" s="1"/>
  <c r="K10" i="2"/>
  <c r="K20" i="2"/>
  <c r="M20" i="2" s="1"/>
  <c r="K13" i="1"/>
  <c r="K14" i="1" s="1"/>
  <c r="M14" i="1" s="1"/>
  <c r="K10" i="1"/>
  <c r="M10" i="2" l="1"/>
  <c r="K15" i="2"/>
  <c r="M10" i="1"/>
  <c r="K19" i="1"/>
  <c r="K15" i="1"/>
  <c r="H44" i="1"/>
  <c r="K20" i="1" s="1"/>
  <c r="M20" i="1" s="1"/>
  <c r="K25" i="2" l="1"/>
  <c r="M25" i="2" s="1"/>
  <c r="K23" i="2"/>
  <c r="M23" i="2" s="1"/>
  <c r="M15" i="2"/>
  <c r="K23" i="1"/>
  <c r="M23" i="1" s="1"/>
  <c r="M15" i="1"/>
  <c r="K25" i="1"/>
  <c r="M25" i="1" s="1"/>
  <c r="M19" i="1"/>
</calcChain>
</file>

<file path=xl/sharedStrings.xml><?xml version="1.0" encoding="utf-8"?>
<sst xmlns="http://schemas.openxmlformats.org/spreadsheetml/2006/main" count="165" uniqueCount="98">
  <si>
    <t>Birthdays after 01.04.23 Hourly Annual Leave allowance</t>
  </si>
  <si>
    <t>Long Term Sickness Annual Leave Formula</t>
  </si>
  <si>
    <t>Days Leave</t>
  </si>
  <si>
    <t xml:space="preserve">Average Weekly Contracted Hours  </t>
  </si>
  <si>
    <t>&lt; 5 years service Annual Leave Hours</t>
  </si>
  <si>
    <t xml:space="preserve">Maximum Number  of hours at weekends </t>
  </si>
  <si>
    <t>&gt;5 and &lt;10 years service Annual Leave Hours</t>
  </si>
  <si>
    <t>&gt;10 years service Annual Leave Hours</t>
  </si>
  <si>
    <t>Bank Holiday Hours Allowance</t>
  </si>
  <si>
    <t>Enter first day of sickness (dd/mm/yyyy)</t>
  </si>
  <si>
    <t>Number of days in Calendar period from birthday to 1st day of sickness + 28 days</t>
  </si>
  <si>
    <t>Enter average weekly contracted hours</t>
  </si>
  <si>
    <t>Enter average number of days per week contracted to work</t>
  </si>
  <si>
    <t>Average daily contracted hours</t>
  </si>
  <si>
    <t>Enter hours leave entitlement for size of contract (from single status annual leave chart)</t>
  </si>
  <si>
    <t>Pro Rata Hours Contractual Annual leave due</t>
  </si>
  <si>
    <t>Enter date returned to work (dd/mm/yyyy)  or termination date from Authority  if sooner</t>
  </si>
  <si>
    <t>Enter number of bank holidays during period of long term sickness</t>
  </si>
  <si>
    <t>Number of days in Calendar period for Statutory Annual Leave</t>
  </si>
  <si>
    <t>Pro Rata Hours Statutory Annual leave due</t>
  </si>
  <si>
    <t>Total Annual Leave allowance for combined contractual hours if terminated</t>
  </si>
  <si>
    <t xml:space="preserve">Date of next birthday </t>
  </si>
  <si>
    <t>Number of days in Calendar period from RTW to day before birthday</t>
  </si>
  <si>
    <t>Pro Rata Hours Annual leave up day before birthday</t>
  </si>
  <si>
    <t>Total Annual Leave allowance for combined contractual hours if returning to work</t>
  </si>
  <si>
    <t>Statutory Leave Only Days Accrued to termination date (for leave not taken)</t>
  </si>
  <si>
    <t>Enter number of leave day taken since birthday prior to LTS</t>
  </si>
  <si>
    <t>A</t>
  </si>
  <si>
    <t>B</t>
  </si>
  <si>
    <t>Please deduct these hours from Bank Holiday Allowance on return to work</t>
  </si>
  <si>
    <t>* Please complete yellow boxes only</t>
  </si>
  <si>
    <t>&gt; Leave entitlement will be shown in pink box on completion of yellow fields</t>
  </si>
  <si>
    <t>Annual stat</t>
  </si>
  <si>
    <t>pro rata stat</t>
  </si>
  <si>
    <t xml:space="preserve">Enter date of Birthday before sickness commenced (dd/mm/yyyy)  </t>
  </si>
  <si>
    <t>Pro Rata Hours Contractual Annual Leave Year 1</t>
  </si>
  <si>
    <t xml:space="preserve">Enter date returned to work (dd/mm/yyyy)  or termination date  </t>
  </si>
  <si>
    <t>Number of days in year 2 calendar period for Statutory Annual Leave</t>
  </si>
  <si>
    <t>Pro Rata Hours Statutory Annual leave due Year 1</t>
  </si>
  <si>
    <t xml:space="preserve">Enter number of annual leave days taken during Leave Year 1 </t>
  </si>
  <si>
    <t>Carry over of Leave from Year 1 (maximum of 28 days pro rata or negative if too many taken)</t>
  </si>
  <si>
    <t>Enter number of bank holidays during period of long term sickness in year 2</t>
  </si>
  <si>
    <t>Pro Rata  Contractual Hours Annual leave up to day before birthday at end of Year 2</t>
  </si>
  <si>
    <t>Statutory Leave Hours accrued Year 2</t>
  </si>
  <si>
    <t>Where there is a negative leave amount these hours/days should be deducted from final salary payment</t>
  </si>
  <si>
    <t>Enter number of annual leave days taken during Leave Year 2</t>
  </si>
  <si>
    <t>Total Annual Leave Hours remaining up to termination date from Authority</t>
  </si>
  <si>
    <t>* Maximum of 28 day statutory leave Based on 20 days annual leave plus 8 bank holidays included (pro rata)</t>
  </si>
  <si>
    <t>Single Status Hourly Annual Leave allowance</t>
  </si>
  <si>
    <t xml:space="preserve">Enter date returned to work (dd/mm/yyyy)  </t>
  </si>
  <si>
    <t>Pro Rata Hours Contractual Annual Leave Year 1 (Birthday to FDoS + 28 days)</t>
  </si>
  <si>
    <t>1st period</t>
  </si>
  <si>
    <t>from</t>
  </si>
  <si>
    <t>to</t>
  </si>
  <si>
    <t>Pro Rata Hours Statutory Annual Leave Year 1</t>
  </si>
  <si>
    <t>(following birthday)</t>
  </si>
  <si>
    <t>Pro Rata Hours Statutory Annual Leave Year 2 up to RTW date</t>
  </si>
  <si>
    <t>1st Period</t>
  </si>
  <si>
    <t>Enter first day of second period of Long Term sickness (dd/mm/yyyy)</t>
  </si>
  <si>
    <t>Number of days in Calendar period from RTW date to 1st day of sickness + 28 days</t>
  </si>
  <si>
    <t>Pro Rata Hours Contractual Annual Leave Year 2 (RTW to FDoS + 28 days)</t>
  </si>
  <si>
    <t>2nd period</t>
  </si>
  <si>
    <t>Pro Rata Hours Statutory Annual leave Year 2  (RTW - Fdos -28 days)</t>
  </si>
  <si>
    <t>Enter first day of third period of Long Term sickness (dd/mm/yyyy)</t>
  </si>
  <si>
    <t xml:space="preserve">Enter date returned to work  or termination date from Authority (dd/mm/yyyy)  </t>
  </si>
  <si>
    <t>Pro Rata Hours Contractual Annual Leave  Year 2</t>
  </si>
  <si>
    <t>3rd period</t>
  </si>
  <si>
    <t>Pro Rata Hours Statutory Annual leave due Year 2</t>
  </si>
  <si>
    <t xml:space="preserve">Date of next Birthday (dd/mm/yyyy)  </t>
  </si>
  <si>
    <t>RTW to birthday</t>
  </si>
  <si>
    <t xml:space="preserve">from </t>
  </si>
  <si>
    <t>Enter number of annual leave days taken during Leave Year 1 and Leave Year 2</t>
  </si>
  <si>
    <t>Annual leave taken</t>
  </si>
  <si>
    <t>Should contractual apply for all 3?</t>
  </si>
  <si>
    <t>Total Balance of hours leave remaining until birthday at end of Year 2</t>
  </si>
  <si>
    <t xml:space="preserve">!! These figures will not account for any annual leave carried forward from previous leave </t>
  </si>
  <si>
    <t>year and will need to be added manually at the end</t>
  </si>
  <si>
    <t>Statutory Notice for Sickness Dismissal Formula</t>
  </si>
  <si>
    <t xml:space="preserve">Enter date of notice being issued </t>
  </si>
  <si>
    <t>Enter number of weeks leave (1 week for each full year of completed service - to Max of 12 weeks)</t>
  </si>
  <si>
    <t>Employee Termination date from Authority</t>
  </si>
  <si>
    <t>Number of minutes</t>
  </si>
  <si>
    <t>Decimal amount</t>
  </si>
  <si>
    <t>n/a</t>
  </si>
  <si>
    <t xml:space="preserve">If terminating - Total Annual Leave Hours/Days remaining up to termination date </t>
  </si>
  <si>
    <t>If not terminating - Total Balance of Hours/Days leave remaining until birthday at end of Year 2 (Year 1 + Year2)</t>
  </si>
  <si>
    <t>This deduction from the annual leave bank holiday allowance should only be for shift workers (night/res/home care). Please deduct from the remaining balance shown above.</t>
  </si>
  <si>
    <t>If not terminating - Total Balance of Hours/Days leave remaining until birthday</t>
  </si>
  <si>
    <t>Please note that these figures will not account for any annual leave carried forward from previous leave year and will need to be added manually at the end.</t>
  </si>
  <si>
    <t>Please note these figures will not account for any annual leave carried forward from previous leave year, or Bank Holidays taken / paid in year 1, and will need to be added manually at the end</t>
  </si>
  <si>
    <t>Long Term Sickness Annual Leave Formula (SICK OVER 1 LEAVE YEAR)</t>
  </si>
  <si>
    <t>Long Term Sickness Annual Leave Formula (SICK OVER 2 LEAVE YEARS)</t>
  </si>
  <si>
    <t>Leave entitlement will be shown in green boxes on completion of yellow fields</t>
  </si>
  <si>
    <t>Leave entitlement will be shown in green box on completion of yellow fields</t>
  </si>
  <si>
    <t>Any negative leave hrs/days, please include on termination form                                                to be deducted from final salary</t>
  </si>
  <si>
    <t>Any negative leave hrs/days, please include on termination form                                     to be deducted from final salary</t>
  </si>
  <si>
    <t xml:space="preserve">Enter date of last Birthday  (dd/mm/yyyy)  prior to the first date of sickness                     </t>
  </si>
  <si>
    <t xml:space="preserve">Enter date of last Birthday  (dd/mm/yyyy)  prior to the first date of sickness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</si>
</sst>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D25F"/>
      <name val="Calibri"/>
      <family val="2"/>
      <scheme val="minor"/>
    </font>
    <font>
      <b/>
      <sz val="14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D25F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2">
    <xf numFmtId="0" fontId="0" fillId="0" borderId="0" xfId="0"/>
    <xf numFmtId="0" fontId="1" fillId="2" borderId="1" xfId="0" applyFont="1" applyFill="1" applyBorder="1" applyAlignment="1">
      <alignment horizontal="left"/>
    </xf>
    <xf numFmtId="14" fontId="0" fillId="3" borderId="2" xfId="0" applyNumberFormat="1" applyFill="1" applyBorder="1"/>
    <xf numFmtId="0" fontId="0" fillId="0" borderId="1" xfId="0" applyBorder="1"/>
    <xf numFmtId="0" fontId="0" fillId="4" borderId="2" xfId="0" applyFill="1" applyBorder="1"/>
    <xf numFmtId="0" fontId="1" fillId="2" borderId="1" xfId="0" applyFont="1" applyFill="1" applyBorder="1"/>
    <xf numFmtId="0" fontId="0" fillId="3" borderId="2" xfId="0" applyFill="1" applyBorder="1"/>
    <xf numFmtId="0" fontId="0" fillId="3" borderId="0" xfId="0" applyFill="1"/>
    <xf numFmtId="0" fontId="0" fillId="5" borderId="0" xfId="0" applyFill="1"/>
    <xf numFmtId="0" fontId="0" fillId="6" borderId="3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2" fontId="0" fillId="0" borderId="6" xfId="0" applyNumberFormat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0" xfId="0" applyNumberFormat="1"/>
    <xf numFmtId="0" fontId="1" fillId="2" borderId="9" xfId="0" applyFont="1" applyFill="1" applyBorder="1"/>
    <xf numFmtId="0" fontId="0" fillId="3" borderId="10" xfId="0" applyFill="1" applyBorder="1"/>
    <xf numFmtId="0" fontId="2" fillId="0" borderId="0" xfId="0" applyFont="1"/>
    <xf numFmtId="0" fontId="3" fillId="0" borderId="0" xfId="0" applyFont="1"/>
    <xf numFmtId="0" fontId="1" fillId="9" borderId="11" xfId="0" applyFont="1" applyFill="1" applyBorder="1"/>
    <xf numFmtId="2" fontId="1" fillId="9" borderId="12" xfId="0" applyNumberFormat="1" applyFont="1" applyFill="1" applyBorder="1"/>
    <xf numFmtId="0" fontId="0" fillId="6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5" borderId="11" xfId="0" applyFont="1" applyFill="1" applyBorder="1"/>
    <xf numFmtId="2" fontId="1" fillId="5" borderId="12" xfId="0" applyNumberFormat="1" applyFont="1" applyFill="1" applyBorder="1"/>
    <xf numFmtId="0" fontId="0" fillId="0" borderId="0" xfId="0" applyAlignment="1">
      <alignment horizontal="right"/>
    </xf>
    <xf numFmtId="0" fontId="1" fillId="0" borderId="11" xfId="0" applyFont="1" applyBorder="1"/>
    <xf numFmtId="0" fontId="1" fillId="10" borderId="0" xfId="0" applyFont="1" applyFill="1"/>
    <xf numFmtId="0" fontId="0" fillId="10" borderId="0" xfId="0" applyFill="1"/>
    <xf numFmtId="0" fontId="1" fillId="4" borderId="11" xfId="0" applyFont="1" applyFill="1" applyBorder="1"/>
    <xf numFmtId="2" fontId="0" fillId="4" borderId="2" xfId="0" applyNumberFormat="1" applyFill="1" applyBorder="1"/>
    <xf numFmtId="2" fontId="1" fillId="0" borderId="12" xfId="0" applyNumberFormat="1" applyFont="1" applyBorder="1"/>
    <xf numFmtId="2" fontId="0" fillId="5" borderId="15" xfId="0" applyNumberForma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0" fontId="1" fillId="4" borderId="1" xfId="0" applyFont="1" applyFill="1" applyBorder="1"/>
    <xf numFmtId="2" fontId="1" fillId="4" borderId="2" xfId="0" applyNumberFormat="1" applyFont="1" applyFill="1" applyBorder="1"/>
    <xf numFmtId="2" fontId="1" fillId="4" borderId="12" xfId="0" applyNumberFormat="1" applyFont="1" applyFill="1" applyBorder="1"/>
    <xf numFmtId="14" fontId="0" fillId="0" borderId="0" xfId="0" applyNumberFormat="1"/>
    <xf numFmtId="14" fontId="0" fillId="11" borderId="2" xfId="0" applyNumberFormat="1" applyFill="1" applyBorder="1"/>
    <xf numFmtId="0" fontId="5" fillId="13" borderId="1" xfId="0" applyFont="1" applyFill="1" applyBorder="1" applyAlignment="1">
      <alignment horizontal="left"/>
    </xf>
    <xf numFmtId="14" fontId="0" fillId="15" borderId="2" xfId="0" applyNumberFormat="1" applyFill="1" applyBorder="1"/>
    <xf numFmtId="0" fontId="0" fillId="16" borderId="17" xfId="0" applyFill="1" applyBorder="1" applyAlignment="1">
      <alignment horizontal="center"/>
    </xf>
    <xf numFmtId="0" fontId="0" fillId="16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5" fillId="22" borderId="2" xfId="0" applyNumberFormat="1" applyFont="1" applyFill="1" applyBorder="1" applyProtection="1">
      <protection locked="0"/>
    </xf>
    <xf numFmtId="0" fontId="5" fillId="22" borderId="2" xfId="0" applyFont="1" applyFill="1" applyBorder="1" applyProtection="1">
      <protection locked="0"/>
    </xf>
    <xf numFmtId="0" fontId="5" fillId="22" borderId="13" xfId="0" applyFont="1" applyFill="1" applyBorder="1" applyProtection="1">
      <protection locked="0"/>
    </xf>
    <xf numFmtId="0" fontId="7" fillId="19" borderId="1" xfId="0" applyFont="1" applyFill="1" applyBorder="1"/>
    <xf numFmtId="0" fontId="7" fillId="19" borderId="2" xfId="0" applyFont="1" applyFill="1" applyBorder="1"/>
    <xf numFmtId="2" fontId="7" fillId="19" borderId="2" xfId="0" applyNumberFormat="1" applyFont="1" applyFill="1" applyBorder="1"/>
    <xf numFmtId="164" fontId="7" fillId="19" borderId="2" xfId="0" applyNumberFormat="1" applyFont="1" applyFill="1" applyBorder="1"/>
    <xf numFmtId="0" fontId="1" fillId="23" borderId="11" xfId="0" applyFont="1" applyFill="1" applyBorder="1" applyAlignment="1">
      <alignment horizontal="center" vertical="center"/>
    </xf>
    <xf numFmtId="0" fontId="0" fillId="23" borderId="14" xfId="0" applyFill="1" applyBorder="1" applyAlignment="1">
      <alignment horizontal="center"/>
    </xf>
    <xf numFmtId="0" fontId="16" fillId="23" borderId="14" xfId="0" applyFont="1" applyFill="1" applyBorder="1" applyAlignment="1">
      <alignment horizontal="center"/>
    </xf>
    <xf numFmtId="2" fontId="16" fillId="23" borderId="14" xfId="0" applyNumberFormat="1" applyFont="1" applyFill="1" applyBorder="1" applyAlignment="1">
      <alignment horizontal="center"/>
    </xf>
    <xf numFmtId="0" fontId="5" fillId="16" borderId="23" xfId="0" applyFont="1" applyFill="1" applyBorder="1" applyAlignment="1">
      <alignment horizontal="center"/>
    </xf>
    <xf numFmtId="0" fontId="5" fillId="16" borderId="24" xfId="0" applyFont="1" applyFill="1" applyBorder="1" applyAlignment="1">
      <alignment horizontal="center"/>
    </xf>
    <xf numFmtId="0" fontId="5" fillId="16" borderId="25" xfId="0" applyFont="1" applyFill="1" applyBorder="1" applyAlignment="1">
      <alignment horizontal="center"/>
    </xf>
    <xf numFmtId="0" fontId="0" fillId="16" borderId="3" xfId="0" applyFill="1" applyBorder="1" applyAlignment="1">
      <alignment horizontal="center" wrapText="1"/>
    </xf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2" fontId="0" fillId="17" borderId="7" xfId="0" applyNumberFormat="1" applyFill="1" applyBorder="1" applyAlignment="1">
      <alignment horizontal="center"/>
    </xf>
    <xf numFmtId="2" fontId="0" fillId="18" borderId="7" xfId="0" applyNumberFormat="1" applyFill="1" applyBorder="1" applyAlignment="1">
      <alignment horizontal="center"/>
    </xf>
    <xf numFmtId="2" fontId="0" fillId="13" borderId="7" xfId="0" applyNumberFormat="1" applyFill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5" fillId="0" borderId="28" xfId="0" applyFont="1" applyBorder="1" applyAlignment="1">
      <alignment horizontal="center"/>
    </xf>
    <xf numFmtId="2" fontId="1" fillId="23" borderId="28" xfId="0" applyNumberFormat="1" applyFont="1" applyFill="1" applyBorder="1"/>
    <xf numFmtId="2" fontId="0" fillId="23" borderId="28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top"/>
    </xf>
    <xf numFmtId="2" fontId="0" fillId="17" borderId="7" xfId="0" applyNumberFormat="1" applyFill="1" applyBorder="1" applyAlignment="1">
      <alignment horizontal="center" vertical="top"/>
    </xf>
    <xf numFmtId="2" fontId="0" fillId="18" borderId="7" xfId="0" applyNumberFormat="1" applyFill="1" applyBorder="1" applyAlignment="1">
      <alignment horizontal="center" vertical="top"/>
    </xf>
    <xf numFmtId="2" fontId="0" fillId="13" borderId="7" xfId="0" applyNumberFormat="1" applyFill="1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6" fillId="0" borderId="0" xfId="1" applyAlignment="1" applyProtection="1">
      <alignment horizontal="left"/>
    </xf>
    <xf numFmtId="0" fontId="0" fillId="14" borderId="0" xfId="0" applyFill="1"/>
    <xf numFmtId="2" fontId="0" fillId="14" borderId="0" xfId="0" applyNumberFormat="1" applyFill="1"/>
    <xf numFmtId="0" fontId="5" fillId="23" borderId="13" xfId="0" applyFont="1" applyFill="1" applyBorder="1" applyAlignment="1">
      <alignment horizontal="center"/>
    </xf>
    <xf numFmtId="0" fontId="12" fillId="19" borderId="1" xfId="0" applyFont="1" applyFill="1" applyBorder="1"/>
    <xf numFmtId="0" fontId="12" fillId="19" borderId="16" xfId="0" applyFont="1" applyFill="1" applyBorder="1"/>
    <xf numFmtId="2" fontId="7" fillId="19" borderId="12" xfId="0" applyNumberFormat="1" applyFont="1" applyFill="1" applyBorder="1"/>
    <xf numFmtId="0" fontId="12" fillId="19" borderId="11" xfId="0" applyFont="1" applyFill="1" applyBorder="1"/>
    <xf numFmtId="0" fontId="12" fillId="0" borderId="1" xfId="0" applyFont="1" applyBorder="1"/>
    <xf numFmtId="2" fontId="7" fillId="0" borderId="2" xfId="0" applyNumberFormat="1" applyFont="1" applyBorder="1"/>
    <xf numFmtId="0" fontId="7" fillId="0" borderId="1" xfId="0" applyFont="1" applyBorder="1"/>
    <xf numFmtId="0" fontId="7" fillId="0" borderId="2" xfId="0" applyFont="1" applyBorder="1"/>
    <xf numFmtId="0" fontId="0" fillId="23" borderId="28" xfId="0" applyFill="1" applyBorder="1" applyAlignment="1">
      <alignment horizontal="center"/>
    </xf>
    <xf numFmtId="0" fontId="5" fillId="24" borderId="1" xfId="0" applyFont="1" applyFill="1" applyBorder="1" applyAlignment="1">
      <alignment horizontal="left"/>
    </xf>
    <xf numFmtId="0" fontId="5" fillId="24" borderId="1" xfId="0" applyFont="1" applyFill="1" applyBorder="1"/>
    <xf numFmtId="0" fontId="5" fillId="24" borderId="28" xfId="0" applyFont="1" applyFill="1" applyBorder="1"/>
    <xf numFmtId="0" fontId="5" fillId="22" borderId="3" xfId="0" applyFont="1" applyFill="1" applyBorder="1" applyProtection="1">
      <protection locked="0"/>
    </xf>
    <xf numFmtId="164" fontId="5" fillId="22" borderId="34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2" fontId="1" fillId="0" borderId="20" xfId="0" applyNumberFormat="1" applyFont="1" applyBorder="1"/>
    <xf numFmtId="0" fontId="5" fillId="0" borderId="28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3" fillId="0" borderId="0" xfId="0" applyFont="1" applyAlignment="1">
      <alignment horizontal="left" vertical="center"/>
    </xf>
    <xf numFmtId="0" fontId="5" fillId="23" borderId="28" xfId="0" applyFont="1" applyFill="1" applyBorder="1" applyAlignment="1">
      <alignment horizontal="center"/>
    </xf>
    <xf numFmtId="0" fontId="1" fillId="24" borderId="9" xfId="0" applyFont="1" applyFill="1" applyBorder="1"/>
    <xf numFmtId="0" fontId="8" fillId="19" borderId="1" xfId="0" applyFont="1" applyFill="1" applyBorder="1"/>
    <xf numFmtId="2" fontId="9" fillId="19" borderId="2" xfId="0" applyNumberFormat="1" applyFont="1" applyFill="1" applyBorder="1"/>
    <xf numFmtId="0" fontId="8" fillId="19" borderId="11" xfId="0" applyFont="1" applyFill="1" applyBorder="1"/>
    <xf numFmtId="2" fontId="9" fillId="19" borderId="12" xfId="0" applyNumberFormat="1" applyFont="1" applyFill="1" applyBorder="1"/>
    <xf numFmtId="0" fontId="1" fillId="24" borderId="1" xfId="0" applyFont="1" applyFill="1" applyBorder="1" applyAlignment="1">
      <alignment horizontal="left"/>
    </xf>
    <xf numFmtId="2" fontId="8" fillId="19" borderId="2" xfId="0" applyNumberFormat="1" applyFont="1" applyFill="1" applyBorder="1"/>
    <xf numFmtId="2" fontId="8" fillId="19" borderId="32" xfId="0" applyNumberFormat="1" applyFont="1" applyFill="1" applyBorder="1"/>
    <xf numFmtId="0" fontId="1" fillId="24" borderId="1" xfId="0" applyFont="1" applyFill="1" applyBorder="1"/>
    <xf numFmtId="0" fontId="15" fillId="23" borderId="14" xfId="0" applyFont="1" applyFill="1" applyBorder="1" applyAlignment="1">
      <alignment horizontal="center"/>
    </xf>
    <xf numFmtId="0" fontId="7" fillId="23" borderId="14" xfId="0" applyFont="1" applyFill="1" applyBorder="1" applyAlignment="1">
      <alignment horizontal="center"/>
    </xf>
    <xf numFmtId="0" fontId="1" fillId="24" borderId="6" xfId="0" applyFont="1" applyFill="1" applyBorder="1" applyAlignment="1">
      <alignment horizontal="left" vertical="center" wrapText="1"/>
    </xf>
    <xf numFmtId="0" fontId="5" fillId="22" borderId="20" xfId="0" applyFont="1" applyFill="1" applyBorder="1" applyProtection="1">
      <protection locked="0"/>
    </xf>
    <xf numFmtId="164" fontId="5" fillId="22" borderId="34" xfId="0" applyNumberFormat="1" applyFont="1" applyFill="1" applyBorder="1" applyAlignment="1" applyProtection="1">
      <alignment horizontal="right" vertical="center"/>
      <protection locked="0"/>
    </xf>
    <xf numFmtId="0" fontId="1" fillId="9" borderId="28" xfId="0" applyFont="1" applyFill="1" applyBorder="1" applyAlignment="1">
      <alignment horizontal="right" wrapText="1"/>
    </xf>
    <xf numFmtId="0" fontId="1" fillId="9" borderId="28" xfId="0" applyFont="1" applyFill="1" applyBorder="1" applyAlignment="1">
      <alignment vertical="top" wrapText="1"/>
    </xf>
    <xf numFmtId="0" fontId="1" fillId="23" borderId="28" xfId="0" applyFont="1" applyFill="1" applyBorder="1" applyAlignment="1">
      <alignment horizontal="center" wrapText="1"/>
    </xf>
    <xf numFmtId="0" fontId="7" fillId="19" borderId="32" xfId="0" applyFont="1" applyFill="1" applyBorder="1"/>
    <xf numFmtId="0" fontId="8" fillId="19" borderId="35" xfId="0" applyFont="1" applyFill="1" applyBorder="1"/>
    <xf numFmtId="0" fontId="1" fillId="24" borderId="3" xfId="0" applyFont="1" applyFill="1" applyBorder="1"/>
    <xf numFmtId="0" fontId="1" fillId="23" borderId="28" xfId="0" applyFont="1" applyFill="1" applyBorder="1" applyAlignment="1">
      <alignment horizontal="center" vertical="center"/>
    </xf>
    <xf numFmtId="0" fontId="5" fillId="22" borderId="5" xfId="0" applyFont="1" applyFill="1" applyBorder="1" applyProtection="1">
      <protection locked="0"/>
    </xf>
    <xf numFmtId="2" fontId="5" fillId="23" borderId="28" xfId="0" applyNumberFormat="1" applyFont="1" applyFill="1" applyBorder="1" applyAlignment="1">
      <alignment horizontal="center"/>
    </xf>
    <xf numFmtId="0" fontId="1" fillId="9" borderId="28" xfId="0" applyFont="1" applyFill="1" applyBorder="1" applyAlignment="1">
      <alignment wrapText="1"/>
    </xf>
    <xf numFmtId="2" fontId="1" fillId="9" borderId="28" xfId="0" applyNumberFormat="1" applyFont="1" applyFill="1" applyBorder="1"/>
    <xf numFmtId="0" fontId="0" fillId="0" borderId="37" xfId="0" applyBorder="1" applyAlignment="1">
      <alignment horizontal="center"/>
    </xf>
    <xf numFmtId="0" fontId="10" fillId="20" borderId="29" xfId="0" applyFont="1" applyFill="1" applyBorder="1" applyAlignment="1">
      <alignment horizontal="center"/>
    </xf>
    <xf numFmtId="0" fontId="10" fillId="20" borderId="33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16" borderId="24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21" borderId="17" xfId="0" applyFont="1" applyFill="1" applyBorder="1" applyAlignment="1">
      <alignment horizontal="center" vertical="center" wrapText="1"/>
    </xf>
    <xf numFmtId="0" fontId="17" fillId="21" borderId="31" xfId="0" applyFont="1" applyFill="1" applyBorder="1" applyAlignment="1">
      <alignment horizontal="center" vertical="center" wrapText="1"/>
    </xf>
    <xf numFmtId="0" fontId="13" fillId="23" borderId="0" xfId="0" applyFont="1" applyFill="1" applyAlignment="1">
      <alignment horizontal="center" vertical="center" wrapText="1"/>
    </xf>
    <xf numFmtId="0" fontId="11" fillId="22" borderId="17" xfId="0" applyFont="1" applyFill="1" applyBorder="1" applyAlignment="1">
      <alignment horizontal="center"/>
    </xf>
    <xf numFmtId="0" fontId="11" fillId="22" borderId="1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7" fillId="21" borderId="17" xfId="0" applyFont="1" applyFill="1" applyBorder="1" applyAlignment="1">
      <alignment horizontal="center" wrapText="1"/>
    </xf>
    <xf numFmtId="0" fontId="17" fillId="21" borderId="10" xfId="0" applyFont="1" applyFill="1" applyBorder="1" applyAlignment="1">
      <alignment horizontal="center" wrapText="1"/>
    </xf>
    <xf numFmtId="0" fontId="13" fillId="23" borderId="36" xfId="0" applyFont="1" applyFill="1" applyBorder="1" applyAlignment="1">
      <alignment horizontal="center" vertical="center"/>
    </xf>
    <xf numFmtId="0" fontId="13" fillId="23" borderId="0" xfId="0" applyFont="1" applyFill="1" applyAlignment="1">
      <alignment horizontal="center" vertic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12" borderId="26" xfId="0" applyFont="1" applyFill="1" applyBorder="1" applyAlignment="1">
      <alignment horizontal="center"/>
    </xf>
    <xf numFmtId="0" fontId="1" fillId="12" borderId="27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D25F"/>
      <color rgb="FFFFFF66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opLeftCell="B1" zoomScaleNormal="100" workbookViewId="0">
      <selection activeCell="K3" sqref="K3"/>
    </sheetView>
  </sheetViews>
  <sheetFormatPr defaultRowHeight="15" x14ac:dyDescent="0.25"/>
  <cols>
    <col min="1" max="1" width="11.5703125" customWidth="1"/>
    <col min="2" max="2" width="11.7109375" customWidth="1"/>
    <col min="3" max="3" width="12.140625" customWidth="1"/>
    <col min="4" max="4" width="12" customWidth="1"/>
    <col min="5" max="5" width="11" customWidth="1"/>
    <col min="6" max="6" width="14.42578125" customWidth="1"/>
    <col min="7" max="7" width="10.5703125" customWidth="1"/>
    <col min="8" max="8" width="10.85546875" customWidth="1"/>
    <col min="10" max="10" width="82.140625" customWidth="1"/>
    <col min="11" max="11" width="13.140625" customWidth="1"/>
    <col min="12" max="12" width="3.5703125" customWidth="1"/>
    <col min="13" max="13" width="10.7109375" style="29" bestFit="1" customWidth="1"/>
  </cols>
  <sheetData>
    <row r="1" spans="1:15" ht="21.75" thickBot="1" x14ac:dyDescent="0.4">
      <c r="A1" s="139" t="s">
        <v>0</v>
      </c>
      <c r="B1" s="140"/>
      <c r="C1" s="140"/>
      <c r="D1" s="140"/>
      <c r="E1" s="140"/>
      <c r="F1" s="140"/>
      <c r="G1" s="140"/>
      <c r="H1" s="141"/>
      <c r="J1" s="137" t="s">
        <v>90</v>
      </c>
      <c r="K1" s="138"/>
      <c r="M1" s="98" t="s">
        <v>2</v>
      </c>
    </row>
    <row r="2" spans="1:15" ht="21.75" thickBot="1" x14ac:dyDescent="0.4">
      <c r="A2" s="65"/>
      <c r="B2" s="66"/>
      <c r="C2" s="66"/>
      <c r="D2" s="66"/>
      <c r="E2" s="66"/>
      <c r="F2" s="66"/>
      <c r="G2" s="66"/>
      <c r="H2" s="67"/>
      <c r="J2" s="147" t="s">
        <v>30</v>
      </c>
      <c r="K2" s="148"/>
      <c r="M2" s="62"/>
    </row>
    <row r="3" spans="1:15" ht="75" x14ac:dyDescent="0.25">
      <c r="A3" s="68" t="s">
        <v>3</v>
      </c>
      <c r="B3" s="68" t="s">
        <v>4</v>
      </c>
      <c r="C3" s="68" t="s">
        <v>5</v>
      </c>
      <c r="D3" s="68" t="s">
        <v>6</v>
      </c>
      <c r="E3" s="68" t="s">
        <v>5</v>
      </c>
      <c r="F3" s="69" t="s">
        <v>7</v>
      </c>
      <c r="G3" s="68" t="s">
        <v>5</v>
      </c>
      <c r="H3" s="70" t="s">
        <v>8</v>
      </c>
      <c r="J3" s="122" t="s">
        <v>97</v>
      </c>
      <c r="K3" s="124">
        <v>45654</v>
      </c>
      <c r="M3" s="63"/>
    </row>
    <row r="4" spans="1:15" x14ac:dyDescent="0.25">
      <c r="A4" s="12">
        <v>1</v>
      </c>
      <c r="B4" s="71">
        <f t="shared" ref="B4:B39" si="0">SUM((A4*27)/5)</f>
        <v>5.4</v>
      </c>
      <c r="C4" s="71">
        <v>2</v>
      </c>
      <c r="D4" s="72">
        <f t="shared" ref="D4:D39" si="1">SUM((A4*32)/5)</f>
        <v>6.4</v>
      </c>
      <c r="E4" s="72">
        <v>2.4</v>
      </c>
      <c r="F4" s="73">
        <f t="shared" ref="F4:F40" si="2">SUM((A4*35)/5)</f>
        <v>7</v>
      </c>
      <c r="G4" s="73">
        <v>2.6</v>
      </c>
      <c r="H4" s="16">
        <v>1.6</v>
      </c>
      <c r="J4" s="99" t="s">
        <v>9</v>
      </c>
      <c r="K4" s="54">
        <v>45791</v>
      </c>
      <c r="M4" s="63"/>
    </row>
    <row r="5" spans="1:15" x14ac:dyDescent="0.25">
      <c r="A5" s="17">
        <v>2</v>
      </c>
      <c r="B5" s="71">
        <f t="shared" si="0"/>
        <v>10.8</v>
      </c>
      <c r="C5" s="71">
        <v>4</v>
      </c>
      <c r="D5" s="72">
        <f t="shared" si="1"/>
        <v>12.8</v>
      </c>
      <c r="E5" s="72">
        <v>4.8</v>
      </c>
      <c r="F5" s="73">
        <f t="shared" si="2"/>
        <v>14</v>
      </c>
      <c r="G5" s="73">
        <v>5.2</v>
      </c>
      <c r="H5" s="16">
        <v>3.2</v>
      </c>
      <c r="J5" s="96" t="s">
        <v>10</v>
      </c>
      <c r="K5" s="97">
        <f>SUM((K4-K3)+28)</f>
        <v>165</v>
      </c>
      <c r="M5" s="63"/>
    </row>
    <row r="6" spans="1:15" x14ac:dyDescent="0.25">
      <c r="A6" s="17">
        <v>3</v>
      </c>
      <c r="B6" s="71">
        <f t="shared" si="0"/>
        <v>16.2</v>
      </c>
      <c r="C6" s="71">
        <v>6</v>
      </c>
      <c r="D6" s="72">
        <f t="shared" si="1"/>
        <v>19.2</v>
      </c>
      <c r="E6" s="72">
        <v>7.2</v>
      </c>
      <c r="F6" s="73">
        <f t="shared" si="2"/>
        <v>21</v>
      </c>
      <c r="G6" s="73">
        <v>7.8</v>
      </c>
      <c r="H6" s="16">
        <v>4.8</v>
      </c>
      <c r="J6" s="100" t="s">
        <v>11</v>
      </c>
      <c r="K6" s="55">
        <v>37</v>
      </c>
      <c r="M6" s="63"/>
    </row>
    <row r="7" spans="1:15" x14ac:dyDescent="0.25">
      <c r="A7" s="17">
        <v>4</v>
      </c>
      <c r="B7" s="71">
        <f t="shared" si="0"/>
        <v>21.6</v>
      </c>
      <c r="C7" s="71">
        <v>8</v>
      </c>
      <c r="D7" s="72">
        <f t="shared" si="1"/>
        <v>25.6</v>
      </c>
      <c r="E7" s="72">
        <v>9.6</v>
      </c>
      <c r="F7" s="73">
        <f t="shared" si="2"/>
        <v>28</v>
      </c>
      <c r="G7" s="73">
        <v>10.4</v>
      </c>
      <c r="H7" s="16">
        <v>6.4</v>
      </c>
      <c r="J7" s="100" t="s">
        <v>12</v>
      </c>
      <c r="K7" s="55">
        <v>5</v>
      </c>
      <c r="M7" s="63"/>
    </row>
    <row r="8" spans="1:15" x14ac:dyDescent="0.25">
      <c r="A8" s="17">
        <v>5</v>
      </c>
      <c r="B8" s="71">
        <f t="shared" si="0"/>
        <v>27</v>
      </c>
      <c r="C8" s="71">
        <v>10</v>
      </c>
      <c r="D8" s="72">
        <f t="shared" si="1"/>
        <v>32</v>
      </c>
      <c r="E8" s="72">
        <v>12</v>
      </c>
      <c r="F8" s="73">
        <f t="shared" si="2"/>
        <v>35</v>
      </c>
      <c r="G8" s="73">
        <v>13</v>
      </c>
      <c r="H8" s="16">
        <v>8</v>
      </c>
      <c r="J8" s="96" t="s">
        <v>13</v>
      </c>
      <c r="K8" s="95">
        <f>SUM(K6/K7)</f>
        <v>7.4</v>
      </c>
      <c r="M8" s="63"/>
    </row>
    <row r="9" spans="1:15" x14ac:dyDescent="0.25">
      <c r="A9" s="17">
        <v>6</v>
      </c>
      <c r="B9" s="71">
        <f t="shared" si="0"/>
        <v>32.4</v>
      </c>
      <c r="C9" s="71">
        <v>12</v>
      </c>
      <c r="D9" s="72">
        <f t="shared" si="1"/>
        <v>38.4</v>
      </c>
      <c r="E9" s="72">
        <v>14.4</v>
      </c>
      <c r="F9" s="73">
        <f t="shared" si="2"/>
        <v>42</v>
      </c>
      <c r="G9" s="73">
        <v>15.6</v>
      </c>
      <c r="H9" s="16">
        <v>9.6</v>
      </c>
      <c r="J9" s="100" t="s">
        <v>14</v>
      </c>
      <c r="K9" s="55">
        <v>236.8</v>
      </c>
      <c r="M9" s="63"/>
    </row>
    <row r="10" spans="1:15" x14ac:dyDescent="0.25">
      <c r="A10" s="17">
        <v>7</v>
      </c>
      <c r="B10" s="71">
        <f t="shared" si="0"/>
        <v>37.799999999999997</v>
      </c>
      <c r="C10" s="71">
        <v>14</v>
      </c>
      <c r="D10" s="72">
        <f t="shared" si="1"/>
        <v>44.8</v>
      </c>
      <c r="E10" s="72">
        <v>16.8</v>
      </c>
      <c r="F10" s="73">
        <f t="shared" si="2"/>
        <v>49</v>
      </c>
      <c r="G10" s="73">
        <v>18.2</v>
      </c>
      <c r="H10" s="16">
        <v>11.2</v>
      </c>
      <c r="J10" s="94" t="s">
        <v>15</v>
      </c>
      <c r="K10" s="95">
        <f>SUM((K5*K9)/365)</f>
        <v>107.04657534246576</v>
      </c>
      <c r="M10" s="64">
        <f>SUM(K10/K8)</f>
        <v>14.465753424657533</v>
      </c>
      <c r="O10" s="19"/>
    </row>
    <row r="11" spans="1:15" x14ac:dyDescent="0.25">
      <c r="A11" s="17">
        <v>8</v>
      </c>
      <c r="B11" s="71">
        <f t="shared" si="0"/>
        <v>43.2</v>
      </c>
      <c r="C11" s="71">
        <v>16</v>
      </c>
      <c r="D11" s="72">
        <f t="shared" si="1"/>
        <v>51.2</v>
      </c>
      <c r="E11" s="72">
        <v>19.2</v>
      </c>
      <c r="F11" s="73">
        <f t="shared" si="2"/>
        <v>56</v>
      </c>
      <c r="G11" s="73">
        <v>20.8</v>
      </c>
      <c r="H11" s="16">
        <v>12.8</v>
      </c>
      <c r="J11" s="99" t="s">
        <v>16</v>
      </c>
      <c r="K11" s="54">
        <v>45938</v>
      </c>
      <c r="M11" s="63"/>
    </row>
    <row r="12" spans="1:15" x14ac:dyDescent="0.25">
      <c r="A12" s="17">
        <v>9</v>
      </c>
      <c r="B12" s="71">
        <f t="shared" si="0"/>
        <v>48.6</v>
      </c>
      <c r="C12" s="71">
        <v>18</v>
      </c>
      <c r="D12" s="72">
        <f t="shared" si="1"/>
        <v>57.6</v>
      </c>
      <c r="E12" s="72">
        <v>21.6</v>
      </c>
      <c r="F12" s="73">
        <f t="shared" si="2"/>
        <v>63</v>
      </c>
      <c r="G12" s="73">
        <v>23.4</v>
      </c>
      <c r="H12" s="16">
        <v>14.4</v>
      </c>
      <c r="J12" s="99" t="s">
        <v>17</v>
      </c>
      <c r="K12" s="123"/>
      <c r="M12" s="63"/>
    </row>
    <row r="13" spans="1:15" x14ac:dyDescent="0.25">
      <c r="A13" s="17">
        <v>10</v>
      </c>
      <c r="B13" s="71">
        <f t="shared" si="0"/>
        <v>54</v>
      </c>
      <c r="C13" s="71">
        <v>20</v>
      </c>
      <c r="D13" s="72">
        <f t="shared" si="1"/>
        <v>64</v>
      </c>
      <c r="E13" s="72">
        <v>24</v>
      </c>
      <c r="F13" s="73">
        <f t="shared" si="2"/>
        <v>70</v>
      </c>
      <c r="G13" s="73">
        <v>26</v>
      </c>
      <c r="H13" s="16">
        <v>16</v>
      </c>
      <c r="J13" s="57" t="s">
        <v>18</v>
      </c>
      <c r="K13" s="58">
        <f>SUM(((K11-K3)-K5))</f>
        <v>119</v>
      </c>
      <c r="M13" s="63"/>
    </row>
    <row r="14" spans="1:15" x14ac:dyDescent="0.25">
      <c r="A14" s="17">
        <v>11</v>
      </c>
      <c r="B14" s="71">
        <f t="shared" si="0"/>
        <v>59.4</v>
      </c>
      <c r="C14" s="71">
        <v>22</v>
      </c>
      <c r="D14" s="72">
        <f t="shared" si="1"/>
        <v>70.400000000000006</v>
      </c>
      <c r="E14" s="72">
        <v>26.4</v>
      </c>
      <c r="F14" s="73">
        <f t="shared" si="2"/>
        <v>77</v>
      </c>
      <c r="G14" s="73">
        <v>28.6</v>
      </c>
      <c r="H14" s="16">
        <v>17.600000000000001</v>
      </c>
      <c r="J14" s="90" t="s">
        <v>19</v>
      </c>
      <c r="K14" s="59">
        <f>SUM((((28/5)*K7*K13)/365)*K8)</f>
        <v>67.552876712328768</v>
      </c>
      <c r="M14" s="64">
        <f>SUM(K14/K8)</f>
        <v>9.1287671232876715</v>
      </c>
    </row>
    <row r="15" spans="1:15" ht="15.75" thickBot="1" x14ac:dyDescent="0.3">
      <c r="A15" s="17">
        <v>12</v>
      </c>
      <c r="B15" s="71">
        <f t="shared" si="0"/>
        <v>64.8</v>
      </c>
      <c r="C15" s="71">
        <v>24</v>
      </c>
      <c r="D15" s="72">
        <f t="shared" si="1"/>
        <v>76.8</v>
      </c>
      <c r="E15" s="72">
        <v>28.8</v>
      </c>
      <c r="F15" s="73">
        <f t="shared" si="2"/>
        <v>84</v>
      </c>
      <c r="G15" s="73">
        <v>31.2</v>
      </c>
      <c r="H15" s="16">
        <v>19.2</v>
      </c>
      <c r="I15" s="32"/>
      <c r="J15" s="91" t="s">
        <v>20</v>
      </c>
      <c r="K15" s="92">
        <f>SUM(K10+K14)</f>
        <v>174.59945205479454</v>
      </c>
      <c r="M15" s="64">
        <f>SUM(K15/K8)</f>
        <v>23.594520547945208</v>
      </c>
    </row>
    <row r="16" spans="1:15" x14ac:dyDescent="0.25">
      <c r="A16" s="17">
        <v>13</v>
      </c>
      <c r="B16" s="71">
        <f t="shared" si="0"/>
        <v>70.2</v>
      </c>
      <c r="C16" s="71">
        <v>26</v>
      </c>
      <c r="D16" s="72">
        <f t="shared" si="1"/>
        <v>83.2</v>
      </c>
      <c r="E16" s="72">
        <v>31.2</v>
      </c>
      <c r="F16" s="73">
        <f t="shared" si="2"/>
        <v>91</v>
      </c>
      <c r="G16" s="73">
        <v>33.799999999999997</v>
      </c>
      <c r="H16" s="16">
        <v>20.8</v>
      </c>
      <c r="I16" s="32"/>
      <c r="J16" s="57" t="s">
        <v>21</v>
      </c>
      <c r="K16" s="60">
        <f>SUM(K3+365)</f>
        <v>46019</v>
      </c>
      <c r="M16" s="63"/>
    </row>
    <row r="17" spans="1:17" x14ac:dyDescent="0.25">
      <c r="A17" s="17">
        <v>14</v>
      </c>
      <c r="B17" s="71">
        <f t="shared" si="0"/>
        <v>75.599999999999994</v>
      </c>
      <c r="C17" s="71">
        <v>28</v>
      </c>
      <c r="D17" s="72">
        <f t="shared" si="1"/>
        <v>89.6</v>
      </c>
      <c r="E17" s="72">
        <v>33.6</v>
      </c>
      <c r="F17" s="73">
        <f t="shared" si="2"/>
        <v>98</v>
      </c>
      <c r="G17" s="73">
        <v>36.4</v>
      </c>
      <c r="H17" s="16">
        <v>22.4</v>
      </c>
      <c r="I17" s="32"/>
      <c r="J17" s="57" t="s">
        <v>22</v>
      </c>
      <c r="K17" s="58">
        <f>SUM(K16-K11)</f>
        <v>81</v>
      </c>
      <c r="M17" s="64"/>
    </row>
    <row r="18" spans="1:17" x14ac:dyDescent="0.25">
      <c r="A18" s="17">
        <v>15</v>
      </c>
      <c r="B18" s="71">
        <f t="shared" si="0"/>
        <v>81</v>
      </c>
      <c r="C18" s="71">
        <v>30</v>
      </c>
      <c r="D18" s="72">
        <f t="shared" si="1"/>
        <v>96</v>
      </c>
      <c r="E18" s="72">
        <v>36</v>
      </c>
      <c r="F18" s="73">
        <f t="shared" si="2"/>
        <v>105</v>
      </c>
      <c r="G18" s="73">
        <v>39</v>
      </c>
      <c r="H18" s="16">
        <v>24</v>
      </c>
      <c r="I18" s="32"/>
      <c r="J18" s="90" t="s">
        <v>23</v>
      </c>
      <c r="K18" s="59">
        <f>SUM((K17*K9)/365)</f>
        <v>52.550136986301368</v>
      </c>
      <c r="M18" s="64">
        <f>SUM(K18/K8)</f>
        <v>7.1013698630136979</v>
      </c>
    </row>
    <row r="19" spans="1:17" ht="15.75" thickBot="1" x14ac:dyDescent="0.3">
      <c r="A19" s="17">
        <v>16</v>
      </c>
      <c r="B19" s="71">
        <f t="shared" si="0"/>
        <v>86.4</v>
      </c>
      <c r="C19" s="71">
        <v>32</v>
      </c>
      <c r="D19" s="72">
        <f t="shared" si="1"/>
        <v>102.4</v>
      </c>
      <c r="E19" s="72">
        <v>38.4</v>
      </c>
      <c r="F19" s="73">
        <f t="shared" si="2"/>
        <v>112</v>
      </c>
      <c r="G19" s="73">
        <v>41.6</v>
      </c>
      <c r="H19" s="16">
        <v>25.6</v>
      </c>
      <c r="I19" s="32"/>
      <c r="J19" s="91" t="s">
        <v>24</v>
      </c>
      <c r="K19" s="92">
        <f>SUM(K10+K14+K18)</f>
        <v>227.14958904109591</v>
      </c>
      <c r="M19" s="64">
        <f>SUM(K19/K8)</f>
        <v>30.695890410958906</v>
      </c>
    </row>
    <row r="20" spans="1:17" ht="15.75" thickBot="1" x14ac:dyDescent="0.3">
      <c r="A20" s="17">
        <v>17</v>
      </c>
      <c r="B20" s="71">
        <f t="shared" si="0"/>
        <v>91.8</v>
      </c>
      <c r="C20" s="71">
        <v>34</v>
      </c>
      <c r="D20" s="72">
        <f t="shared" si="1"/>
        <v>108.8</v>
      </c>
      <c r="E20" s="72">
        <v>40.799999999999997</v>
      </c>
      <c r="F20" s="73">
        <f t="shared" si="2"/>
        <v>119</v>
      </c>
      <c r="G20" s="73">
        <v>44.2</v>
      </c>
      <c r="H20" s="16">
        <v>27.2</v>
      </c>
      <c r="I20" s="32"/>
      <c r="J20" s="93" t="s">
        <v>25</v>
      </c>
      <c r="K20" s="92">
        <f>SUM((H44-K22)*K8)</f>
        <v>72.418630136986309</v>
      </c>
      <c r="M20" s="64">
        <f>SUM(K20/K8)</f>
        <v>9.7863013698630148</v>
      </c>
    </row>
    <row r="21" spans="1:17" ht="39.75" customHeight="1" thickBot="1" x14ac:dyDescent="0.3">
      <c r="A21" s="17">
        <v>18</v>
      </c>
      <c r="B21" s="71">
        <f t="shared" si="0"/>
        <v>97.2</v>
      </c>
      <c r="C21" s="71">
        <v>36</v>
      </c>
      <c r="D21" s="72">
        <f t="shared" si="1"/>
        <v>115.2</v>
      </c>
      <c r="E21" s="72">
        <v>43.2</v>
      </c>
      <c r="F21" s="73">
        <f t="shared" si="2"/>
        <v>126</v>
      </c>
      <c r="G21" s="73">
        <v>46.8</v>
      </c>
      <c r="H21" s="16">
        <v>28.8</v>
      </c>
      <c r="I21" s="32"/>
      <c r="J21" s="144" t="s">
        <v>94</v>
      </c>
      <c r="K21" s="145"/>
      <c r="M21" s="63"/>
    </row>
    <row r="22" spans="1:17" ht="15.75" thickBot="1" x14ac:dyDescent="0.3">
      <c r="A22" s="17">
        <v>19</v>
      </c>
      <c r="B22" s="71">
        <f t="shared" si="0"/>
        <v>102.6</v>
      </c>
      <c r="C22" s="71">
        <v>38</v>
      </c>
      <c r="D22" s="72">
        <f t="shared" si="1"/>
        <v>121.6</v>
      </c>
      <c r="E22" s="72">
        <v>45.6</v>
      </c>
      <c r="F22" s="73">
        <f t="shared" si="2"/>
        <v>133</v>
      </c>
      <c r="G22" s="73">
        <v>49.4</v>
      </c>
      <c r="H22" s="16">
        <v>30.4</v>
      </c>
      <c r="I22" s="32"/>
      <c r="J22" s="101" t="s">
        <v>26</v>
      </c>
      <c r="K22" s="56">
        <v>12</v>
      </c>
      <c r="M22" s="89" t="s">
        <v>2</v>
      </c>
    </row>
    <row r="23" spans="1:17" ht="15.75" thickBot="1" x14ac:dyDescent="0.3">
      <c r="A23" s="17">
        <v>20</v>
      </c>
      <c r="B23" s="71">
        <f t="shared" si="0"/>
        <v>108</v>
      </c>
      <c r="C23" s="71">
        <v>40</v>
      </c>
      <c r="D23" s="72">
        <f t="shared" si="1"/>
        <v>128</v>
      </c>
      <c r="E23" s="72">
        <v>48</v>
      </c>
      <c r="F23" s="73">
        <f t="shared" si="2"/>
        <v>140</v>
      </c>
      <c r="G23" s="73">
        <v>52</v>
      </c>
      <c r="H23" s="74">
        <v>32</v>
      </c>
      <c r="I23" s="75" t="s">
        <v>27</v>
      </c>
      <c r="J23" s="61" t="s">
        <v>84</v>
      </c>
      <c r="K23" s="76">
        <f>IF((K22*K8)&gt;=K15,(K15-(K22*K8)),IF(K22&gt;=H44,(K15-(K22*K8)),IF(K22&lt;H44,((H44-K22)*K8),0)))</f>
        <v>72.418630136986309</v>
      </c>
      <c r="M23" s="77">
        <f>SUM(K23/K8)</f>
        <v>9.7863013698630148</v>
      </c>
    </row>
    <row r="24" spans="1:17" ht="15.75" thickBot="1" x14ac:dyDescent="0.3">
      <c r="A24" s="17">
        <v>21</v>
      </c>
      <c r="B24" s="71">
        <f t="shared" si="0"/>
        <v>113.4</v>
      </c>
      <c r="C24" s="71">
        <v>42</v>
      </c>
      <c r="D24" s="72">
        <f t="shared" si="1"/>
        <v>134.4</v>
      </c>
      <c r="E24" s="72">
        <v>50.4</v>
      </c>
      <c r="F24" s="73">
        <f t="shared" si="2"/>
        <v>147</v>
      </c>
      <c r="G24" s="73">
        <v>54.6</v>
      </c>
      <c r="H24" s="16">
        <v>33.6</v>
      </c>
      <c r="I24" s="29"/>
    </row>
    <row r="25" spans="1:17" ht="15.75" thickBot="1" x14ac:dyDescent="0.3">
      <c r="A25" s="17">
        <v>22</v>
      </c>
      <c r="B25" s="71">
        <f t="shared" si="0"/>
        <v>118.8</v>
      </c>
      <c r="C25" s="71">
        <v>44</v>
      </c>
      <c r="D25" s="72">
        <f t="shared" si="1"/>
        <v>140.80000000000001</v>
      </c>
      <c r="E25" s="72">
        <v>52.8</v>
      </c>
      <c r="F25" s="73">
        <f t="shared" si="2"/>
        <v>154</v>
      </c>
      <c r="G25" s="73">
        <v>57.2</v>
      </c>
      <c r="H25" s="74">
        <v>35.200000000000003</v>
      </c>
      <c r="I25" s="75" t="s">
        <v>28</v>
      </c>
      <c r="J25" s="127" t="s">
        <v>87</v>
      </c>
      <c r="K25" s="76">
        <f>SUM(K19-(K22*K8))</f>
        <v>138.3495890410959</v>
      </c>
      <c r="M25" s="77">
        <f>SUM(K25/K8)</f>
        <v>18.695890410958903</v>
      </c>
    </row>
    <row r="26" spans="1:17" s="84" customFormat="1" ht="15.75" thickBot="1" x14ac:dyDescent="0.3">
      <c r="A26" s="78">
        <v>23</v>
      </c>
      <c r="B26" s="79">
        <f t="shared" si="0"/>
        <v>124.2</v>
      </c>
      <c r="C26" s="79">
        <v>46</v>
      </c>
      <c r="D26" s="80">
        <f t="shared" si="1"/>
        <v>147.19999999999999</v>
      </c>
      <c r="E26" s="80">
        <v>55.2</v>
      </c>
      <c r="F26" s="81">
        <f t="shared" si="2"/>
        <v>161</v>
      </c>
      <c r="G26" s="81">
        <v>59.8</v>
      </c>
      <c r="H26" s="82">
        <v>36.799999999999997</v>
      </c>
      <c r="I26" s="83"/>
      <c r="M26" s="85"/>
    </row>
    <row r="27" spans="1:17" ht="30.75" thickBot="1" x14ac:dyDescent="0.3">
      <c r="A27" s="17">
        <v>24</v>
      </c>
      <c r="B27" s="71">
        <f t="shared" si="0"/>
        <v>129.6</v>
      </c>
      <c r="C27" s="71">
        <v>48</v>
      </c>
      <c r="D27" s="72">
        <f t="shared" si="1"/>
        <v>153.6</v>
      </c>
      <c r="E27" s="72">
        <v>57.6</v>
      </c>
      <c r="F27" s="73">
        <f t="shared" si="2"/>
        <v>168</v>
      </c>
      <c r="G27" s="73">
        <v>62.4</v>
      </c>
      <c r="H27" s="16">
        <v>38.4</v>
      </c>
      <c r="I27" s="32"/>
      <c r="J27" s="126" t="s">
        <v>86</v>
      </c>
      <c r="K27" s="125">
        <f>SUM(K12*K8)*-1</f>
        <v>0</v>
      </c>
    </row>
    <row r="28" spans="1:17" x14ac:dyDescent="0.25">
      <c r="A28" s="17">
        <v>25</v>
      </c>
      <c r="B28" s="71">
        <f t="shared" si="0"/>
        <v>135</v>
      </c>
      <c r="C28" s="71">
        <v>50</v>
      </c>
      <c r="D28" s="72">
        <f t="shared" si="1"/>
        <v>160</v>
      </c>
      <c r="E28" s="72">
        <v>60</v>
      </c>
      <c r="F28" s="73">
        <f t="shared" si="2"/>
        <v>175</v>
      </c>
      <c r="G28" s="73">
        <v>65</v>
      </c>
      <c r="H28" s="16">
        <v>40</v>
      </c>
    </row>
    <row r="29" spans="1:17" x14ac:dyDescent="0.25">
      <c r="A29" s="17">
        <v>26</v>
      </c>
      <c r="B29" s="71">
        <f t="shared" si="0"/>
        <v>140.4</v>
      </c>
      <c r="C29" s="71">
        <v>52</v>
      </c>
      <c r="D29" s="72">
        <f t="shared" si="1"/>
        <v>166.4</v>
      </c>
      <c r="E29" s="72">
        <v>62.4</v>
      </c>
      <c r="F29" s="73">
        <f t="shared" si="2"/>
        <v>182</v>
      </c>
      <c r="G29" s="73">
        <v>67.599999999999994</v>
      </c>
      <c r="H29" s="16">
        <v>41.6</v>
      </c>
      <c r="J29" s="146" t="s">
        <v>93</v>
      </c>
    </row>
    <row r="30" spans="1:17" x14ac:dyDescent="0.25">
      <c r="A30" s="17">
        <v>27</v>
      </c>
      <c r="B30" s="71">
        <f t="shared" si="0"/>
        <v>145.80000000000001</v>
      </c>
      <c r="C30" s="71">
        <v>54</v>
      </c>
      <c r="D30" s="72">
        <f t="shared" si="1"/>
        <v>172.8</v>
      </c>
      <c r="E30" s="72">
        <v>64.8</v>
      </c>
      <c r="F30" s="73">
        <f t="shared" si="2"/>
        <v>189</v>
      </c>
      <c r="G30" s="73">
        <v>70.2</v>
      </c>
      <c r="H30" s="16">
        <v>43.2</v>
      </c>
      <c r="J30" s="146"/>
      <c r="M30"/>
    </row>
    <row r="31" spans="1:17" x14ac:dyDescent="0.25">
      <c r="A31" s="17">
        <v>28</v>
      </c>
      <c r="B31" s="71">
        <f t="shared" si="0"/>
        <v>151.19999999999999</v>
      </c>
      <c r="C31" s="71">
        <v>56</v>
      </c>
      <c r="D31" s="72">
        <f t="shared" si="1"/>
        <v>179.2</v>
      </c>
      <c r="E31" s="72">
        <v>67.2</v>
      </c>
      <c r="F31" s="73">
        <f t="shared" si="2"/>
        <v>196</v>
      </c>
      <c r="G31" s="73">
        <v>72.8</v>
      </c>
      <c r="H31" s="16">
        <v>44.8</v>
      </c>
      <c r="J31" s="142" t="s">
        <v>88</v>
      </c>
    </row>
    <row r="32" spans="1:17" x14ac:dyDescent="0.25">
      <c r="A32" s="17">
        <v>29</v>
      </c>
      <c r="B32" s="71">
        <f t="shared" si="0"/>
        <v>156.6</v>
      </c>
      <c r="C32" s="71">
        <v>58</v>
      </c>
      <c r="D32" s="72">
        <f t="shared" si="1"/>
        <v>185.6</v>
      </c>
      <c r="E32" s="72">
        <v>69.599999999999994</v>
      </c>
      <c r="F32" s="73">
        <f t="shared" si="2"/>
        <v>203</v>
      </c>
      <c r="G32" s="73">
        <v>75.400000000000006</v>
      </c>
      <c r="H32" s="16">
        <v>46.4</v>
      </c>
      <c r="J32" s="142"/>
      <c r="K32" s="86"/>
      <c r="L32" s="86"/>
      <c r="M32" s="86"/>
      <c r="N32" s="86"/>
      <c r="O32" s="86"/>
      <c r="P32" s="86"/>
      <c r="Q32" s="86"/>
    </row>
    <row r="33" spans="1:10" x14ac:dyDescent="0.25">
      <c r="A33" s="17">
        <v>30</v>
      </c>
      <c r="B33" s="71">
        <f t="shared" si="0"/>
        <v>162</v>
      </c>
      <c r="C33" s="71">
        <v>60</v>
      </c>
      <c r="D33" s="72">
        <f t="shared" si="1"/>
        <v>192</v>
      </c>
      <c r="E33" s="72">
        <v>72</v>
      </c>
      <c r="F33" s="73">
        <f t="shared" si="2"/>
        <v>210</v>
      </c>
      <c r="G33" s="73">
        <v>78</v>
      </c>
      <c r="H33" s="16">
        <v>48</v>
      </c>
      <c r="J33" s="143"/>
    </row>
    <row r="34" spans="1:10" x14ac:dyDescent="0.25">
      <c r="A34" s="17">
        <v>31</v>
      </c>
      <c r="B34" s="71">
        <f t="shared" si="0"/>
        <v>167.4</v>
      </c>
      <c r="C34" s="71">
        <v>62</v>
      </c>
      <c r="D34" s="72">
        <f t="shared" si="1"/>
        <v>198.4</v>
      </c>
      <c r="E34" s="72">
        <v>74.400000000000006</v>
      </c>
      <c r="F34" s="73">
        <f t="shared" si="2"/>
        <v>217</v>
      </c>
      <c r="G34" s="73">
        <v>80.599999999999994</v>
      </c>
      <c r="H34" s="16">
        <v>49.6</v>
      </c>
    </row>
    <row r="35" spans="1:10" x14ac:dyDescent="0.25">
      <c r="A35" s="17">
        <v>32</v>
      </c>
      <c r="B35" s="71">
        <f t="shared" si="0"/>
        <v>172.8</v>
      </c>
      <c r="C35" s="71">
        <v>64</v>
      </c>
      <c r="D35" s="72">
        <f t="shared" si="1"/>
        <v>204.8</v>
      </c>
      <c r="E35" s="72">
        <v>76.8</v>
      </c>
      <c r="F35" s="73">
        <f t="shared" si="2"/>
        <v>224</v>
      </c>
      <c r="G35" s="73">
        <v>83.2</v>
      </c>
      <c r="H35" s="16">
        <v>51.2</v>
      </c>
    </row>
    <row r="36" spans="1:10" x14ac:dyDescent="0.25">
      <c r="A36" s="17">
        <v>33</v>
      </c>
      <c r="B36" s="71">
        <f t="shared" si="0"/>
        <v>178.2</v>
      </c>
      <c r="C36" s="71">
        <v>66</v>
      </c>
      <c r="D36" s="72">
        <f t="shared" si="1"/>
        <v>211.2</v>
      </c>
      <c r="E36" s="72">
        <v>79.2</v>
      </c>
      <c r="F36" s="73">
        <f t="shared" si="2"/>
        <v>231</v>
      </c>
      <c r="G36" s="73">
        <v>85.8</v>
      </c>
      <c r="H36" s="16">
        <v>52.8</v>
      </c>
    </row>
    <row r="37" spans="1:10" x14ac:dyDescent="0.25">
      <c r="A37" s="17">
        <v>34</v>
      </c>
      <c r="B37" s="71">
        <f t="shared" si="0"/>
        <v>183.6</v>
      </c>
      <c r="C37" s="71">
        <v>68</v>
      </c>
      <c r="D37" s="72">
        <f t="shared" si="1"/>
        <v>217.6</v>
      </c>
      <c r="E37" s="72">
        <v>81.599999999999994</v>
      </c>
      <c r="F37" s="73">
        <f t="shared" si="2"/>
        <v>238</v>
      </c>
      <c r="G37" s="73">
        <v>88.4</v>
      </c>
      <c r="H37" s="16">
        <v>54.4</v>
      </c>
    </row>
    <row r="38" spans="1:10" x14ac:dyDescent="0.25">
      <c r="A38" s="17">
        <v>35</v>
      </c>
      <c r="B38" s="71">
        <f t="shared" si="0"/>
        <v>189</v>
      </c>
      <c r="C38" s="71">
        <v>70</v>
      </c>
      <c r="D38" s="72">
        <f t="shared" si="1"/>
        <v>224</v>
      </c>
      <c r="E38" s="72">
        <v>84</v>
      </c>
      <c r="F38" s="73">
        <f t="shared" si="2"/>
        <v>245</v>
      </c>
      <c r="G38" s="73">
        <v>91</v>
      </c>
      <c r="H38" s="16">
        <v>56</v>
      </c>
    </row>
    <row r="39" spans="1:10" x14ac:dyDescent="0.25">
      <c r="A39" s="17">
        <v>36</v>
      </c>
      <c r="B39" s="71">
        <f t="shared" si="0"/>
        <v>194.4</v>
      </c>
      <c r="C39" s="71">
        <v>72</v>
      </c>
      <c r="D39" s="72">
        <f t="shared" si="1"/>
        <v>230.4</v>
      </c>
      <c r="E39" s="72">
        <v>86.4</v>
      </c>
      <c r="F39" s="73">
        <f t="shared" si="2"/>
        <v>252</v>
      </c>
      <c r="G39" s="73">
        <v>93.6</v>
      </c>
      <c r="H39" s="16">
        <v>57.6</v>
      </c>
    </row>
    <row r="40" spans="1:10" ht="15.75" thickBot="1" x14ac:dyDescent="0.3">
      <c r="A40" s="18">
        <v>37</v>
      </c>
      <c r="B40" s="71">
        <f>SUM((A40*27)/5)</f>
        <v>199.8</v>
      </c>
      <c r="C40" s="71">
        <v>74</v>
      </c>
      <c r="D40" s="72">
        <f>SUM((A40*32)/5)</f>
        <v>236.8</v>
      </c>
      <c r="E40" s="72">
        <v>88.8</v>
      </c>
      <c r="F40" s="73">
        <f t="shared" si="2"/>
        <v>259</v>
      </c>
      <c r="G40" s="73">
        <v>96.2</v>
      </c>
      <c r="H40" s="16">
        <v>59.2</v>
      </c>
    </row>
    <row r="43" spans="1:10" x14ac:dyDescent="0.25">
      <c r="G43" s="87" t="s">
        <v>32</v>
      </c>
      <c r="H43" s="87">
        <f>SUM((28/5)*K7)</f>
        <v>28</v>
      </c>
    </row>
    <row r="44" spans="1:10" x14ac:dyDescent="0.25">
      <c r="G44" s="87" t="s">
        <v>33</v>
      </c>
      <c r="H44" s="88">
        <f>SUM((H43/365)*(K5+K13))</f>
        <v>21.786301369863015</v>
      </c>
    </row>
  </sheetData>
  <sheetProtection algorithmName="SHA-512" hashValue="QpCH4l2kXBjrty5KHbI4Fh45J6RK9hajIPVm0nvPAZNtoDhgTd8B/rqDBqZIgBYyJVn/N+vYMcm0+iEHrIBcoQ==" saltValue="CWV1MQ2PtFe23APVsOwCyQ==" spinCount="100000" sheet="1" objects="1" scenarios="1" selectLockedCells="1"/>
  <mergeCells count="6">
    <mergeCell ref="J1:K1"/>
    <mergeCell ref="A1:H1"/>
    <mergeCell ref="J31:J33"/>
    <mergeCell ref="J21:K21"/>
    <mergeCell ref="J29:J30"/>
    <mergeCell ref="J2:K2"/>
  </mergeCells>
  <phoneticPr fontId="4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tabSelected="1" topLeftCell="C14" workbookViewId="0">
      <selection activeCell="K3" sqref="K3"/>
    </sheetView>
  </sheetViews>
  <sheetFormatPr defaultColWidth="9.140625" defaultRowHeight="15" x14ac:dyDescent="0.25"/>
  <cols>
    <col min="1" max="1" width="11" customWidth="1"/>
    <col min="2" max="2" width="8.5703125" bestFit="1" customWidth="1"/>
    <col min="8" max="8" width="10" customWidth="1"/>
    <col min="10" max="10" width="81.7109375" customWidth="1"/>
    <col min="11" max="11" width="10.7109375" bestFit="1" customWidth="1"/>
    <col min="12" max="12" width="3.140625" customWidth="1"/>
    <col min="13" max="13" width="10.7109375" style="29" bestFit="1" customWidth="1"/>
  </cols>
  <sheetData>
    <row r="1" spans="1:14" ht="21.75" thickBot="1" x14ac:dyDescent="0.4">
      <c r="A1" s="139" t="s">
        <v>0</v>
      </c>
      <c r="B1" s="140"/>
      <c r="C1" s="140"/>
      <c r="D1" s="140"/>
      <c r="E1" s="140"/>
      <c r="F1" s="140"/>
      <c r="G1" s="140"/>
      <c r="H1" s="141"/>
      <c r="J1" s="137" t="s">
        <v>91</v>
      </c>
      <c r="K1" s="138"/>
      <c r="M1" s="110" t="s">
        <v>2</v>
      </c>
    </row>
    <row r="2" spans="1:14" ht="21.75" thickBot="1" x14ac:dyDescent="0.4">
      <c r="A2" s="65"/>
      <c r="B2" s="66"/>
      <c r="C2" s="66"/>
      <c r="D2" s="66"/>
      <c r="E2" s="66"/>
      <c r="F2" s="66"/>
      <c r="G2" s="66"/>
      <c r="H2" s="67"/>
      <c r="J2" s="147" t="s">
        <v>30</v>
      </c>
      <c r="K2" s="148"/>
      <c r="M2" s="62"/>
    </row>
    <row r="3" spans="1:14" ht="105" x14ac:dyDescent="0.25">
      <c r="A3" s="68" t="s">
        <v>3</v>
      </c>
      <c r="B3" s="68" t="s">
        <v>4</v>
      </c>
      <c r="C3" s="68" t="s">
        <v>5</v>
      </c>
      <c r="D3" s="68" t="s">
        <v>6</v>
      </c>
      <c r="E3" s="68" t="s">
        <v>5</v>
      </c>
      <c r="F3" s="69" t="s">
        <v>7</v>
      </c>
      <c r="G3" s="68" t="s">
        <v>5</v>
      </c>
      <c r="H3" s="70" t="s">
        <v>8</v>
      </c>
      <c r="J3" s="122" t="s">
        <v>96</v>
      </c>
      <c r="K3" s="103">
        <v>45707</v>
      </c>
      <c r="M3" s="62"/>
    </row>
    <row r="4" spans="1:14" x14ac:dyDescent="0.25">
      <c r="A4" s="12">
        <v>1</v>
      </c>
      <c r="B4" s="71">
        <f t="shared" ref="B4:B39" si="0">SUM((A4*27)/5)</f>
        <v>5.4</v>
      </c>
      <c r="C4" s="71">
        <v>2</v>
      </c>
      <c r="D4" s="72">
        <f t="shared" ref="D4:D39" si="1">SUM((A4*32)/5)</f>
        <v>6.4</v>
      </c>
      <c r="E4" s="72">
        <v>2.4</v>
      </c>
      <c r="F4" s="73">
        <f t="shared" ref="F4:F40" si="2">SUM((A4*35)/5)</f>
        <v>7</v>
      </c>
      <c r="G4" s="73">
        <v>2.6</v>
      </c>
      <c r="H4" s="16">
        <v>1.6</v>
      </c>
      <c r="J4" s="116" t="s">
        <v>9</v>
      </c>
      <c r="K4" s="54">
        <v>45964</v>
      </c>
      <c r="M4" s="121"/>
    </row>
    <row r="5" spans="1:14" x14ac:dyDescent="0.25">
      <c r="A5" s="17">
        <v>2</v>
      </c>
      <c r="B5" s="71">
        <f t="shared" si="0"/>
        <v>10.8</v>
      </c>
      <c r="C5" s="71">
        <v>4</v>
      </c>
      <c r="D5" s="72">
        <f t="shared" si="1"/>
        <v>12.8</v>
      </c>
      <c r="E5" s="72">
        <v>4.8</v>
      </c>
      <c r="F5" s="73">
        <f t="shared" si="2"/>
        <v>14</v>
      </c>
      <c r="G5" s="73">
        <v>5.2</v>
      </c>
      <c r="H5" s="16">
        <v>3.2</v>
      </c>
      <c r="J5" s="57" t="s">
        <v>10</v>
      </c>
      <c r="K5" s="58">
        <f>SUM((K4-K3)+28)</f>
        <v>285</v>
      </c>
      <c r="M5" s="121"/>
    </row>
    <row r="6" spans="1:14" x14ac:dyDescent="0.25">
      <c r="A6" s="17">
        <v>3</v>
      </c>
      <c r="B6" s="71">
        <f t="shared" si="0"/>
        <v>16.2</v>
      </c>
      <c r="C6" s="71">
        <v>6</v>
      </c>
      <c r="D6" s="72">
        <f t="shared" si="1"/>
        <v>19.2</v>
      </c>
      <c r="E6" s="72">
        <v>7.2</v>
      </c>
      <c r="F6" s="73">
        <f t="shared" si="2"/>
        <v>21</v>
      </c>
      <c r="G6" s="73">
        <v>7.8</v>
      </c>
      <c r="H6" s="16">
        <v>4.8</v>
      </c>
      <c r="J6" s="119" t="s">
        <v>11</v>
      </c>
      <c r="K6" s="55">
        <v>37</v>
      </c>
      <c r="M6" s="121"/>
    </row>
    <row r="7" spans="1:14" x14ac:dyDescent="0.25">
      <c r="A7" s="17">
        <v>4</v>
      </c>
      <c r="B7" s="71">
        <f t="shared" si="0"/>
        <v>21.6</v>
      </c>
      <c r="C7" s="71">
        <v>8</v>
      </c>
      <c r="D7" s="72">
        <f t="shared" si="1"/>
        <v>25.6</v>
      </c>
      <c r="E7" s="72">
        <v>9.6</v>
      </c>
      <c r="F7" s="73">
        <f t="shared" si="2"/>
        <v>28</v>
      </c>
      <c r="G7" s="73">
        <v>10.4</v>
      </c>
      <c r="H7" s="16">
        <v>6.4</v>
      </c>
      <c r="J7" s="119" t="s">
        <v>12</v>
      </c>
      <c r="K7" s="55">
        <v>5</v>
      </c>
      <c r="M7" s="120"/>
    </row>
    <row r="8" spans="1:14" x14ac:dyDescent="0.25">
      <c r="A8" s="17">
        <v>5</v>
      </c>
      <c r="B8" s="71">
        <f t="shared" si="0"/>
        <v>27</v>
      </c>
      <c r="C8" s="71">
        <v>10</v>
      </c>
      <c r="D8" s="72">
        <f t="shared" si="1"/>
        <v>32</v>
      </c>
      <c r="E8" s="72">
        <v>12</v>
      </c>
      <c r="F8" s="73">
        <f t="shared" si="2"/>
        <v>35</v>
      </c>
      <c r="G8" s="73">
        <v>13</v>
      </c>
      <c r="H8" s="16">
        <v>8</v>
      </c>
      <c r="J8" s="57" t="s">
        <v>13</v>
      </c>
      <c r="K8" s="59">
        <f>SUM(K6/K7)</f>
        <v>7.4</v>
      </c>
      <c r="M8" s="63"/>
    </row>
    <row r="9" spans="1:14" x14ac:dyDescent="0.25">
      <c r="A9" s="17">
        <v>6</v>
      </c>
      <c r="B9" s="71">
        <f t="shared" si="0"/>
        <v>32.4</v>
      </c>
      <c r="C9" s="71">
        <v>12</v>
      </c>
      <c r="D9" s="72">
        <f t="shared" si="1"/>
        <v>38.4</v>
      </c>
      <c r="E9" s="72">
        <v>14.4</v>
      </c>
      <c r="F9" s="73">
        <f t="shared" si="2"/>
        <v>42</v>
      </c>
      <c r="G9" s="73">
        <v>15.6</v>
      </c>
      <c r="H9" s="16">
        <v>9.6</v>
      </c>
      <c r="J9" s="119" t="s">
        <v>14</v>
      </c>
      <c r="K9" s="55">
        <v>199.8</v>
      </c>
      <c r="M9" s="63"/>
    </row>
    <row r="10" spans="1:14" x14ac:dyDescent="0.25">
      <c r="A10" s="17">
        <v>7</v>
      </c>
      <c r="B10" s="71">
        <f t="shared" si="0"/>
        <v>37.799999999999997</v>
      </c>
      <c r="C10" s="71">
        <v>14</v>
      </c>
      <c r="D10" s="72">
        <f t="shared" si="1"/>
        <v>44.8</v>
      </c>
      <c r="E10" s="72">
        <v>16.8</v>
      </c>
      <c r="F10" s="73">
        <f t="shared" si="2"/>
        <v>49</v>
      </c>
      <c r="G10" s="73">
        <v>18.2</v>
      </c>
      <c r="H10" s="16">
        <v>11.2</v>
      </c>
      <c r="J10" s="112" t="s">
        <v>35</v>
      </c>
      <c r="K10" s="117">
        <f>IF(K5&gt;365,(K9),((K5*(K9-(2*K8)))/365))</f>
        <v>144.45205479452054</v>
      </c>
      <c r="M10" s="64">
        <f>SUM(K10/K8)</f>
        <v>19.520547945205475</v>
      </c>
    </row>
    <row r="11" spans="1:14" x14ac:dyDescent="0.25">
      <c r="A11" s="17">
        <v>8</v>
      </c>
      <c r="B11" s="71">
        <f t="shared" si="0"/>
        <v>43.2</v>
      </c>
      <c r="C11" s="71">
        <v>16</v>
      </c>
      <c r="D11" s="72">
        <f t="shared" si="1"/>
        <v>51.2</v>
      </c>
      <c r="E11" s="72">
        <v>19.2</v>
      </c>
      <c r="F11" s="73">
        <f t="shared" si="2"/>
        <v>56</v>
      </c>
      <c r="G11" s="73">
        <v>20.8</v>
      </c>
      <c r="H11" s="16">
        <v>12.8</v>
      </c>
      <c r="J11" s="116" t="s">
        <v>36</v>
      </c>
      <c r="K11" s="54">
        <v>46113</v>
      </c>
      <c r="M11" s="63"/>
    </row>
    <row r="12" spans="1:14" x14ac:dyDescent="0.25">
      <c r="A12" s="17">
        <v>9</v>
      </c>
      <c r="B12" s="71">
        <f t="shared" si="0"/>
        <v>48.6</v>
      </c>
      <c r="C12" s="71">
        <v>18</v>
      </c>
      <c r="D12" s="72">
        <f t="shared" si="1"/>
        <v>57.6</v>
      </c>
      <c r="E12" s="72">
        <v>21.6</v>
      </c>
      <c r="F12" s="73">
        <f t="shared" si="2"/>
        <v>63</v>
      </c>
      <c r="G12" s="73">
        <v>23.4</v>
      </c>
      <c r="H12" s="16">
        <v>14.4</v>
      </c>
      <c r="I12" s="32"/>
      <c r="J12" s="57" t="s">
        <v>37</v>
      </c>
      <c r="K12" s="58">
        <f>SUM((K11-(K3+365)))</f>
        <v>41</v>
      </c>
      <c r="M12" s="63"/>
    </row>
    <row r="13" spans="1:14" x14ac:dyDescent="0.25">
      <c r="A13" s="17">
        <v>10</v>
      </c>
      <c r="B13" s="71">
        <f t="shared" si="0"/>
        <v>54</v>
      </c>
      <c r="C13" s="71">
        <v>20</v>
      </c>
      <c r="D13" s="72">
        <f t="shared" si="1"/>
        <v>64</v>
      </c>
      <c r="E13" s="72">
        <v>24</v>
      </c>
      <c r="F13" s="73">
        <f t="shared" si="2"/>
        <v>70</v>
      </c>
      <c r="G13" s="73">
        <v>26</v>
      </c>
      <c r="H13" s="16">
        <v>16</v>
      </c>
      <c r="I13" s="32"/>
      <c r="J13" s="129" t="s">
        <v>38</v>
      </c>
      <c r="K13" s="118">
        <f>IF(K5&gt;365,(0),(((K8*((28/5)*K7)*(365-K5))/365)))</f>
        <v>45.413698630136984</v>
      </c>
      <c r="L13" s="19"/>
      <c r="M13" s="64">
        <f>SUM(K13/K8)</f>
        <v>6.1369863013698627</v>
      </c>
      <c r="N13" s="19"/>
    </row>
    <row r="14" spans="1:14" x14ac:dyDescent="0.25">
      <c r="A14" s="17">
        <v>11</v>
      </c>
      <c r="B14" s="71">
        <f t="shared" si="0"/>
        <v>59.4</v>
      </c>
      <c r="C14" s="71">
        <v>22</v>
      </c>
      <c r="D14" s="72">
        <f t="shared" si="1"/>
        <v>70.400000000000006</v>
      </c>
      <c r="E14" s="72">
        <v>26.4</v>
      </c>
      <c r="F14" s="73">
        <f t="shared" si="2"/>
        <v>77</v>
      </c>
      <c r="G14" s="73">
        <v>28.6</v>
      </c>
      <c r="H14" s="16">
        <v>17.600000000000001</v>
      </c>
      <c r="I14" s="32"/>
      <c r="J14" s="130" t="s">
        <v>39</v>
      </c>
      <c r="K14" s="102">
        <v>16</v>
      </c>
      <c r="L14" s="19"/>
      <c r="M14" s="64"/>
    </row>
    <row r="15" spans="1:14" x14ac:dyDescent="0.25">
      <c r="A15" s="17">
        <v>12</v>
      </c>
      <c r="B15" s="71">
        <f t="shared" si="0"/>
        <v>64.8</v>
      </c>
      <c r="C15" s="71">
        <v>24</v>
      </c>
      <c r="D15" s="72">
        <f t="shared" si="1"/>
        <v>76.8</v>
      </c>
      <c r="E15" s="72">
        <v>28.8</v>
      </c>
      <c r="F15" s="73">
        <f t="shared" si="2"/>
        <v>84</v>
      </c>
      <c r="G15" s="73">
        <v>31.2</v>
      </c>
      <c r="H15" s="16">
        <v>19.2</v>
      </c>
      <c r="I15" s="32"/>
      <c r="J15" s="112" t="s">
        <v>40</v>
      </c>
      <c r="K15" s="117">
        <f>IF(K14&gt;((K10+K13)/K8),((K10+K13)-(K14*K8)),IF(K14&lt;=((K10+K13)/K8),((((28/5)*K7)-K14)*K8),100))</f>
        <v>88.800000000000011</v>
      </c>
      <c r="L15" s="19"/>
      <c r="M15" s="64">
        <f>SUM(K15/K8)</f>
        <v>12.000000000000002</v>
      </c>
    </row>
    <row r="16" spans="1:14" x14ac:dyDescent="0.25">
      <c r="A16" s="17">
        <v>13</v>
      </c>
      <c r="B16" s="71">
        <f t="shared" si="0"/>
        <v>70.2</v>
      </c>
      <c r="C16" s="71">
        <v>26</v>
      </c>
      <c r="D16" s="72">
        <f t="shared" si="1"/>
        <v>83.2</v>
      </c>
      <c r="E16" s="72">
        <v>31.2</v>
      </c>
      <c r="F16" s="73">
        <f t="shared" si="2"/>
        <v>91</v>
      </c>
      <c r="G16" s="73">
        <v>33.799999999999997</v>
      </c>
      <c r="H16" s="16">
        <v>20.8</v>
      </c>
      <c r="I16" s="32"/>
      <c r="J16" s="57" t="s">
        <v>21</v>
      </c>
      <c r="K16" s="60">
        <f>SUM(K3+365+365)</f>
        <v>46437</v>
      </c>
      <c r="M16" s="63"/>
    </row>
    <row r="17" spans="1:17" x14ac:dyDescent="0.25">
      <c r="A17" s="17">
        <v>14</v>
      </c>
      <c r="B17" s="71">
        <f t="shared" si="0"/>
        <v>75.599999999999994</v>
      </c>
      <c r="C17" s="71">
        <v>28</v>
      </c>
      <c r="D17" s="72">
        <f t="shared" si="1"/>
        <v>89.6</v>
      </c>
      <c r="E17" s="72">
        <v>33.6</v>
      </c>
      <c r="F17" s="73">
        <f t="shared" si="2"/>
        <v>98</v>
      </c>
      <c r="G17" s="73">
        <v>36.4</v>
      </c>
      <c r="H17" s="16">
        <v>22.4</v>
      </c>
      <c r="I17" s="32"/>
      <c r="J17" s="57" t="s">
        <v>22</v>
      </c>
      <c r="K17" s="128">
        <f>SUM(K16-K11)</f>
        <v>324</v>
      </c>
      <c r="M17" s="63"/>
    </row>
    <row r="18" spans="1:17" x14ac:dyDescent="0.25">
      <c r="A18" s="17">
        <v>15</v>
      </c>
      <c r="B18" s="71">
        <f t="shared" si="0"/>
        <v>81</v>
      </c>
      <c r="C18" s="71">
        <v>30</v>
      </c>
      <c r="D18" s="72">
        <f t="shared" si="1"/>
        <v>96</v>
      </c>
      <c r="E18" s="72">
        <v>36</v>
      </c>
      <c r="F18" s="73">
        <f t="shared" si="2"/>
        <v>105</v>
      </c>
      <c r="G18" s="73">
        <v>39</v>
      </c>
      <c r="H18" s="16">
        <v>24</v>
      </c>
      <c r="I18" s="32"/>
      <c r="J18" s="116" t="s">
        <v>41</v>
      </c>
      <c r="K18" s="102">
        <v>0</v>
      </c>
      <c r="M18" s="63"/>
    </row>
    <row r="19" spans="1:17" x14ac:dyDescent="0.25">
      <c r="A19" s="17">
        <v>16</v>
      </c>
      <c r="B19" s="71">
        <f t="shared" si="0"/>
        <v>86.4</v>
      </c>
      <c r="C19" s="71">
        <v>32</v>
      </c>
      <c r="D19" s="72">
        <f t="shared" si="1"/>
        <v>102.4</v>
      </c>
      <c r="E19" s="72">
        <v>38.4</v>
      </c>
      <c r="F19" s="73">
        <f t="shared" si="2"/>
        <v>112</v>
      </c>
      <c r="G19" s="73">
        <v>41.6</v>
      </c>
      <c r="H19" s="16">
        <v>25.6</v>
      </c>
      <c r="I19" s="32"/>
      <c r="J19" s="112" t="s">
        <v>42</v>
      </c>
      <c r="K19" s="113">
        <f>IF(K5&gt;365,((((K5-365)*(K9-(2*K8)))/365)+((K17*K9)/365)),((K17*K9/365)))</f>
        <v>177.35671232876714</v>
      </c>
      <c r="L19" s="19"/>
      <c r="M19" s="64">
        <f>SUM(K19/K8)</f>
        <v>23.967123287671235</v>
      </c>
    </row>
    <row r="20" spans="1:17" ht="15.75" thickBot="1" x14ac:dyDescent="0.3">
      <c r="A20" s="17">
        <v>17</v>
      </c>
      <c r="B20" s="71">
        <f t="shared" si="0"/>
        <v>91.8</v>
      </c>
      <c r="C20" s="71">
        <v>34</v>
      </c>
      <c r="D20" s="72">
        <f t="shared" si="1"/>
        <v>108.8</v>
      </c>
      <c r="E20" s="72">
        <v>40.799999999999997</v>
      </c>
      <c r="F20" s="73">
        <f t="shared" si="2"/>
        <v>119</v>
      </c>
      <c r="G20" s="73">
        <v>44.2</v>
      </c>
      <c r="H20" s="16">
        <v>27.2</v>
      </c>
      <c r="I20" s="32"/>
      <c r="J20" s="114" t="s">
        <v>43</v>
      </c>
      <c r="K20" s="115">
        <f>SUM((K12*((((28/5)*K7)*K8))/365))</f>
        <v>23.274520547945208</v>
      </c>
      <c r="L20" s="19"/>
      <c r="M20" s="64">
        <f>SUM(K20/K8)</f>
        <v>3.1452054794520552</v>
      </c>
    </row>
    <row r="21" spans="1:17" ht="37.5" customHeight="1" thickBot="1" x14ac:dyDescent="0.35">
      <c r="A21" s="17">
        <v>18</v>
      </c>
      <c r="B21" s="71">
        <f t="shared" si="0"/>
        <v>97.2</v>
      </c>
      <c r="C21" s="71">
        <v>36</v>
      </c>
      <c r="D21" s="72">
        <f t="shared" si="1"/>
        <v>115.2</v>
      </c>
      <c r="E21" s="72">
        <v>43.2</v>
      </c>
      <c r="F21" s="73">
        <f t="shared" si="2"/>
        <v>126</v>
      </c>
      <c r="G21" s="73">
        <v>46.8</v>
      </c>
      <c r="H21" s="16">
        <v>28.8</v>
      </c>
      <c r="I21" s="32"/>
      <c r="J21" s="151" t="s">
        <v>95</v>
      </c>
      <c r="K21" s="152"/>
      <c r="L21" s="19"/>
      <c r="M21" s="64"/>
    </row>
    <row r="22" spans="1:17" ht="15.75" thickBot="1" x14ac:dyDescent="0.3">
      <c r="A22" s="17">
        <v>19</v>
      </c>
      <c r="B22" s="71">
        <f t="shared" si="0"/>
        <v>102.6</v>
      </c>
      <c r="C22" s="71">
        <v>38</v>
      </c>
      <c r="D22" s="72">
        <f t="shared" si="1"/>
        <v>121.6</v>
      </c>
      <c r="E22" s="72">
        <v>45.6</v>
      </c>
      <c r="F22" s="73">
        <f t="shared" si="2"/>
        <v>133</v>
      </c>
      <c r="G22" s="73">
        <v>49.4</v>
      </c>
      <c r="H22" s="16">
        <v>30.4</v>
      </c>
      <c r="I22" s="32"/>
      <c r="J22" s="111" t="s">
        <v>45</v>
      </c>
      <c r="K22" s="132">
        <v>0</v>
      </c>
      <c r="M22" s="110" t="s">
        <v>2</v>
      </c>
    </row>
    <row r="23" spans="1:17" ht="15.75" thickBot="1" x14ac:dyDescent="0.3">
      <c r="A23" s="17">
        <v>20</v>
      </c>
      <c r="B23" s="71">
        <f t="shared" si="0"/>
        <v>108</v>
      </c>
      <c r="C23" s="71">
        <v>40</v>
      </c>
      <c r="D23" s="72">
        <f t="shared" si="1"/>
        <v>128</v>
      </c>
      <c r="E23" s="72">
        <v>48</v>
      </c>
      <c r="F23" s="73">
        <f t="shared" si="2"/>
        <v>140</v>
      </c>
      <c r="G23" s="73">
        <v>52</v>
      </c>
      <c r="H23" s="74">
        <v>32</v>
      </c>
      <c r="I23" s="75" t="s">
        <v>27</v>
      </c>
      <c r="J23" s="131" t="s">
        <v>84</v>
      </c>
      <c r="K23" s="76">
        <f>SUM((K15+K20)-(K22*K8))</f>
        <v>112.07452054794521</v>
      </c>
      <c r="M23" s="133">
        <f>SUM(K23/K8)</f>
        <v>15.145205479452056</v>
      </c>
    </row>
    <row r="24" spans="1:17" ht="15.75" thickBot="1" x14ac:dyDescent="0.3">
      <c r="A24" s="17">
        <v>21</v>
      </c>
      <c r="B24" s="71">
        <f t="shared" si="0"/>
        <v>113.4</v>
      </c>
      <c r="C24" s="71">
        <v>42</v>
      </c>
      <c r="D24" s="72">
        <f t="shared" si="1"/>
        <v>134.4</v>
      </c>
      <c r="E24" s="72">
        <v>50.4</v>
      </c>
      <c r="F24" s="73">
        <f t="shared" si="2"/>
        <v>147</v>
      </c>
      <c r="G24" s="73">
        <v>54.6</v>
      </c>
      <c r="H24" s="16">
        <v>33.6</v>
      </c>
      <c r="I24" s="32"/>
      <c r="J24" s="33"/>
      <c r="K24" s="106"/>
      <c r="M24" s="28"/>
    </row>
    <row r="25" spans="1:17" ht="30.75" thickBot="1" x14ac:dyDescent="0.3">
      <c r="A25" s="17">
        <v>22</v>
      </c>
      <c r="B25" s="71">
        <f t="shared" si="0"/>
        <v>118.8</v>
      </c>
      <c r="C25" s="71">
        <v>44</v>
      </c>
      <c r="D25" s="72">
        <f t="shared" si="1"/>
        <v>140.80000000000001</v>
      </c>
      <c r="E25" s="72">
        <v>52.8</v>
      </c>
      <c r="F25" s="73">
        <f t="shared" si="2"/>
        <v>154</v>
      </c>
      <c r="G25" s="73">
        <v>57.2</v>
      </c>
      <c r="H25" s="74">
        <v>35.200000000000003</v>
      </c>
      <c r="I25" s="107" t="s">
        <v>28</v>
      </c>
      <c r="J25" s="127" t="s">
        <v>85</v>
      </c>
      <c r="K25" s="76">
        <f>SUM((K20+K19+K15)-(K22*K8))</f>
        <v>289.43123287671233</v>
      </c>
      <c r="M25" s="133">
        <f>SUM(K25/K8)</f>
        <v>39.112328767123287</v>
      </c>
    </row>
    <row r="26" spans="1:17" ht="15.75" thickBot="1" x14ac:dyDescent="0.3">
      <c r="A26" s="17">
        <v>23</v>
      </c>
      <c r="B26" s="71">
        <f t="shared" si="0"/>
        <v>124.2</v>
      </c>
      <c r="C26" s="71">
        <v>46</v>
      </c>
      <c r="D26" s="72">
        <f t="shared" si="1"/>
        <v>147.19999999999999</v>
      </c>
      <c r="E26" s="72">
        <v>55.2</v>
      </c>
      <c r="F26" s="73">
        <f t="shared" si="2"/>
        <v>161</v>
      </c>
      <c r="G26" s="73">
        <v>59.8</v>
      </c>
      <c r="H26" s="16">
        <v>36.799999999999997</v>
      </c>
    </row>
    <row r="27" spans="1:17" ht="30.75" thickBot="1" x14ac:dyDescent="0.3">
      <c r="A27" s="17">
        <v>24</v>
      </c>
      <c r="B27" s="71">
        <f t="shared" si="0"/>
        <v>129.6</v>
      </c>
      <c r="C27" s="71">
        <v>48</v>
      </c>
      <c r="D27" s="72">
        <f t="shared" si="1"/>
        <v>153.6</v>
      </c>
      <c r="E27" s="72">
        <v>57.6</v>
      </c>
      <c r="F27" s="73">
        <f t="shared" si="2"/>
        <v>168</v>
      </c>
      <c r="G27" s="73">
        <v>62.4</v>
      </c>
      <c r="H27" s="16">
        <v>38.4</v>
      </c>
      <c r="J27" s="134" t="s">
        <v>86</v>
      </c>
      <c r="K27" s="135">
        <f>SUM(K18*K8)*-1</f>
        <v>0</v>
      </c>
      <c r="M27" s="108"/>
    </row>
    <row r="28" spans="1:17" ht="15.75" thickBot="1" x14ac:dyDescent="0.3">
      <c r="A28" s="17">
        <v>25</v>
      </c>
      <c r="B28" s="71">
        <f t="shared" si="0"/>
        <v>135</v>
      </c>
      <c r="C28" s="71">
        <v>50</v>
      </c>
      <c r="D28" s="72">
        <f t="shared" si="1"/>
        <v>160</v>
      </c>
      <c r="E28" s="72">
        <v>60</v>
      </c>
      <c r="F28" s="73">
        <f t="shared" si="2"/>
        <v>175</v>
      </c>
      <c r="G28" s="73">
        <v>65</v>
      </c>
      <c r="H28" s="16">
        <v>40</v>
      </c>
      <c r="M28" s="108"/>
    </row>
    <row r="29" spans="1:17" x14ac:dyDescent="0.25">
      <c r="A29" s="17">
        <v>26</v>
      </c>
      <c r="B29" s="71">
        <f t="shared" si="0"/>
        <v>140.4</v>
      </c>
      <c r="C29" s="71">
        <v>52</v>
      </c>
      <c r="D29" s="72">
        <f t="shared" si="1"/>
        <v>166.4</v>
      </c>
      <c r="E29" s="72">
        <v>62.4</v>
      </c>
      <c r="F29" s="73">
        <f t="shared" si="2"/>
        <v>182</v>
      </c>
      <c r="G29" s="73">
        <v>67.599999999999994</v>
      </c>
      <c r="H29" s="16">
        <v>41.6</v>
      </c>
      <c r="J29" s="153" t="s">
        <v>92</v>
      </c>
    </row>
    <row r="30" spans="1:17" x14ac:dyDescent="0.25">
      <c r="A30" s="17">
        <v>27</v>
      </c>
      <c r="B30" s="71">
        <f t="shared" si="0"/>
        <v>145.80000000000001</v>
      </c>
      <c r="C30" s="71">
        <v>54</v>
      </c>
      <c r="D30" s="72">
        <f t="shared" si="1"/>
        <v>172.8</v>
      </c>
      <c r="E30" s="72">
        <v>64.8</v>
      </c>
      <c r="F30" s="73">
        <f t="shared" si="2"/>
        <v>189</v>
      </c>
      <c r="G30" s="73">
        <v>70.2</v>
      </c>
      <c r="H30" s="16">
        <v>43.2</v>
      </c>
      <c r="J30" s="154"/>
    </row>
    <row r="31" spans="1:17" x14ac:dyDescent="0.25">
      <c r="A31" s="17">
        <v>28</v>
      </c>
      <c r="B31" s="71">
        <f t="shared" si="0"/>
        <v>151.19999999999999</v>
      </c>
      <c r="C31" s="71">
        <v>56</v>
      </c>
      <c r="D31" s="72">
        <f t="shared" si="1"/>
        <v>179.2</v>
      </c>
      <c r="E31" s="72">
        <v>67.2</v>
      </c>
      <c r="F31" s="73">
        <f t="shared" si="2"/>
        <v>196</v>
      </c>
      <c r="G31" s="73">
        <v>72.8</v>
      </c>
      <c r="H31" s="16">
        <v>44.8</v>
      </c>
      <c r="J31" s="150" t="s">
        <v>47</v>
      </c>
      <c r="M31"/>
    </row>
    <row r="32" spans="1:17" ht="15.75" x14ac:dyDescent="0.25">
      <c r="A32" s="17">
        <v>29</v>
      </c>
      <c r="B32" s="71">
        <f t="shared" si="0"/>
        <v>156.6</v>
      </c>
      <c r="C32" s="71">
        <v>58</v>
      </c>
      <c r="D32" s="72">
        <f t="shared" si="1"/>
        <v>185.6</v>
      </c>
      <c r="E32" s="72">
        <v>69.599999999999994</v>
      </c>
      <c r="F32" s="73">
        <f t="shared" si="2"/>
        <v>203</v>
      </c>
      <c r="G32" s="73">
        <v>75.400000000000006</v>
      </c>
      <c r="H32" s="16">
        <v>46.4</v>
      </c>
      <c r="J32" s="150"/>
      <c r="K32" s="109"/>
      <c r="L32" s="109"/>
      <c r="M32" s="109"/>
      <c r="N32" s="109"/>
      <c r="O32" s="109"/>
      <c r="P32" s="109"/>
      <c r="Q32" s="109"/>
    </row>
    <row r="33" spans="1:17" ht="15.75" x14ac:dyDescent="0.25">
      <c r="A33" s="17">
        <v>30</v>
      </c>
      <c r="B33" s="71">
        <f t="shared" si="0"/>
        <v>162</v>
      </c>
      <c r="C33" s="71">
        <v>60</v>
      </c>
      <c r="D33" s="72">
        <f t="shared" si="1"/>
        <v>192</v>
      </c>
      <c r="E33" s="72">
        <v>72</v>
      </c>
      <c r="F33" s="73">
        <f t="shared" si="2"/>
        <v>210</v>
      </c>
      <c r="G33" s="73">
        <v>78</v>
      </c>
      <c r="H33" s="16">
        <v>48</v>
      </c>
      <c r="K33" s="109"/>
      <c r="L33" s="109"/>
      <c r="M33" s="109"/>
      <c r="N33" s="109"/>
      <c r="O33" s="109"/>
      <c r="P33" s="109"/>
      <c r="Q33" s="109"/>
    </row>
    <row r="34" spans="1:17" x14ac:dyDescent="0.25">
      <c r="A34" s="17">
        <v>31</v>
      </c>
      <c r="B34" s="71">
        <f t="shared" si="0"/>
        <v>167.4</v>
      </c>
      <c r="C34" s="71">
        <v>62</v>
      </c>
      <c r="D34" s="72">
        <f t="shared" si="1"/>
        <v>198.4</v>
      </c>
      <c r="E34" s="72">
        <v>74.400000000000006</v>
      </c>
      <c r="F34" s="73">
        <f t="shared" si="2"/>
        <v>217</v>
      </c>
      <c r="G34" s="73">
        <v>80.599999999999994</v>
      </c>
      <c r="H34" s="16">
        <v>49.6</v>
      </c>
      <c r="J34" s="149" t="s">
        <v>89</v>
      </c>
    </row>
    <row r="35" spans="1:17" ht="15" customHeight="1" x14ac:dyDescent="0.25">
      <c r="A35" s="17">
        <v>32</v>
      </c>
      <c r="B35" s="71">
        <f t="shared" si="0"/>
        <v>172.8</v>
      </c>
      <c r="C35" s="71">
        <v>64</v>
      </c>
      <c r="D35" s="72">
        <f t="shared" si="1"/>
        <v>204.8</v>
      </c>
      <c r="E35" s="72">
        <v>76.8</v>
      </c>
      <c r="F35" s="73">
        <f t="shared" si="2"/>
        <v>224</v>
      </c>
      <c r="G35" s="73">
        <v>83.2</v>
      </c>
      <c r="H35" s="16">
        <v>51.2</v>
      </c>
      <c r="J35" s="149"/>
      <c r="K35" s="104"/>
      <c r="L35" s="104"/>
      <c r="M35" s="104"/>
      <c r="N35" s="104"/>
      <c r="O35" s="104"/>
      <c r="P35" s="104"/>
      <c r="Q35" s="104"/>
    </row>
    <row r="36" spans="1:17" ht="15" customHeight="1" x14ac:dyDescent="0.25">
      <c r="A36" s="17">
        <v>33</v>
      </c>
      <c r="B36" s="71">
        <f t="shared" si="0"/>
        <v>178.2</v>
      </c>
      <c r="C36" s="71">
        <v>66</v>
      </c>
      <c r="D36" s="72">
        <f t="shared" si="1"/>
        <v>211.2</v>
      </c>
      <c r="E36" s="72">
        <v>79.2</v>
      </c>
      <c r="F36" s="73">
        <f t="shared" si="2"/>
        <v>231</v>
      </c>
      <c r="G36" s="73">
        <v>85.8</v>
      </c>
      <c r="H36" s="16">
        <v>52.8</v>
      </c>
      <c r="J36" s="149"/>
      <c r="K36" s="104"/>
      <c r="L36" s="104"/>
      <c r="M36" s="104"/>
      <c r="N36" s="104"/>
      <c r="O36" s="104"/>
      <c r="P36" s="104"/>
      <c r="Q36" s="104"/>
    </row>
    <row r="37" spans="1:17" ht="15" customHeight="1" x14ac:dyDescent="0.25">
      <c r="A37" s="17">
        <v>34</v>
      </c>
      <c r="B37" s="71">
        <f t="shared" si="0"/>
        <v>183.6</v>
      </c>
      <c r="C37" s="71">
        <v>68</v>
      </c>
      <c r="D37" s="72">
        <f t="shared" si="1"/>
        <v>217.6</v>
      </c>
      <c r="E37" s="72">
        <v>81.599999999999994</v>
      </c>
      <c r="F37" s="73">
        <f t="shared" si="2"/>
        <v>238</v>
      </c>
      <c r="G37" s="73">
        <v>88.4</v>
      </c>
      <c r="H37" s="16">
        <v>54.4</v>
      </c>
      <c r="K37" s="105"/>
      <c r="L37" s="105"/>
      <c r="M37" s="105"/>
      <c r="N37" s="105"/>
      <c r="O37" s="105"/>
      <c r="P37" s="105"/>
      <c r="Q37" s="105"/>
    </row>
    <row r="38" spans="1:17" x14ac:dyDescent="0.25">
      <c r="A38" s="17">
        <v>35</v>
      </c>
      <c r="B38" s="71">
        <f t="shared" si="0"/>
        <v>189</v>
      </c>
      <c r="C38" s="71">
        <v>70</v>
      </c>
      <c r="D38" s="72">
        <f t="shared" si="1"/>
        <v>224</v>
      </c>
      <c r="E38" s="72">
        <v>84</v>
      </c>
      <c r="F38" s="73">
        <f t="shared" si="2"/>
        <v>245</v>
      </c>
      <c r="G38" s="73">
        <v>91</v>
      </c>
      <c r="H38" s="16">
        <v>56</v>
      </c>
    </row>
    <row r="39" spans="1:17" x14ac:dyDescent="0.25">
      <c r="A39" s="17">
        <v>36</v>
      </c>
      <c r="B39" s="71">
        <f t="shared" si="0"/>
        <v>194.4</v>
      </c>
      <c r="C39" s="71">
        <v>72</v>
      </c>
      <c r="D39" s="72">
        <f t="shared" si="1"/>
        <v>230.4</v>
      </c>
      <c r="E39" s="72">
        <v>86.4</v>
      </c>
      <c r="F39" s="73">
        <f t="shared" si="2"/>
        <v>252</v>
      </c>
      <c r="G39" s="73">
        <v>93.6</v>
      </c>
      <c r="H39" s="16">
        <v>57.6</v>
      </c>
      <c r="J39" s="22"/>
    </row>
    <row r="40" spans="1:17" ht="15.75" thickBot="1" x14ac:dyDescent="0.3">
      <c r="A40" s="18">
        <v>37</v>
      </c>
      <c r="B40" s="71">
        <f>SUM((A40*27)/5)</f>
        <v>199.8</v>
      </c>
      <c r="C40" s="71">
        <v>74</v>
      </c>
      <c r="D40" s="72">
        <f>SUM((A40*32)/5)</f>
        <v>236.8</v>
      </c>
      <c r="E40" s="72">
        <v>88.8</v>
      </c>
      <c r="F40" s="73">
        <f t="shared" si="2"/>
        <v>259</v>
      </c>
      <c r="G40" s="73">
        <v>96.2</v>
      </c>
      <c r="H40" s="16">
        <v>59.2</v>
      </c>
      <c r="J40" s="22"/>
    </row>
    <row r="41" spans="1:17" x14ac:dyDescent="0.25">
      <c r="J41" s="22"/>
    </row>
    <row r="42" spans="1:17" x14ac:dyDescent="0.25">
      <c r="J42" s="23"/>
    </row>
    <row r="43" spans="1:17" x14ac:dyDescent="0.25">
      <c r="J43" s="22"/>
    </row>
    <row r="44" spans="1:17" x14ac:dyDescent="0.25">
      <c r="J44" s="22"/>
    </row>
    <row r="45" spans="1:17" x14ac:dyDescent="0.25">
      <c r="J45" s="22"/>
    </row>
    <row r="46" spans="1:17" x14ac:dyDescent="0.25">
      <c r="J46" s="22"/>
    </row>
    <row r="47" spans="1:17" x14ac:dyDescent="0.25">
      <c r="J47" s="22"/>
    </row>
    <row r="48" spans="1:17" x14ac:dyDescent="0.25">
      <c r="J48" s="23"/>
    </row>
    <row r="49" spans="10:10" x14ac:dyDescent="0.25">
      <c r="J49" s="22"/>
    </row>
    <row r="50" spans="10:10" x14ac:dyDescent="0.25">
      <c r="J50" s="22"/>
    </row>
    <row r="51" spans="10:10" x14ac:dyDescent="0.25">
      <c r="J51" s="22"/>
    </row>
    <row r="52" spans="10:10" x14ac:dyDescent="0.25">
      <c r="J52" s="22"/>
    </row>
    <row r="53" spans="10:10" x14ac:dyDescent="0.25">
      <c r="J53" s="22"/>
    </row>
    <row r="54" spans="10:10" x14ac:dyDescent="0.25">
      <c r="J54" s="22"/>
    </row>
    <row r="55" spans="10:10" x14ac:dyDescent="0.25">
      <c r="J55" s="22"/>
    </row>
    <row r="56" spans="10:10" x14ac:dyDescent="0.25">
      <c r="J56" s="22"/>
    </row>
  </sheetData>
  <sheetProtection algorithmName="SHA-512" hashValue="IcIYysKEI/Eb9uoieNoQum/MKl6jQxu32RYWUme0Ac/muBaeC/CfBzlVs5EJpzr4Y6MVuSHruSfUTcbtvU0RQA==" saltValue="tGyamzYAba1zxK9JQiBXRA==" spinCount="100000" sheet="1" selectLockedCells="1"/>
  <mergeCells count="7">
    <mergeCell ref="J34:J36"/>
    <mergeCell ref="J2:K2"/>
    <mergeCell ref="J1:K1"/>
    <mergeCell ref="A1:H1"/>
    <mergeCell ref="J31:J32"/>
    <mergeCell ref="J21:K21"/>
    <mergeCell ref="J29:J30"/>
  </mergeCells>
  <phoneticPr fontId="4" type="noConversion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3"/>
  <sheetViews>
    <sheetView topLeftCell="H1" workbookViewId="0">
      <selection activeCell="J2" sqref="J2"/>
    </sheetView>
  </sheetViews>
  <sheetFormatPr defaultRowHeight="15" x14ac:dyDescent="0.25"/>
  <cols>
    <col min="1" max="1" width="11" customWidth="1"/>
    <col min="2" max="2" width="8.5703125" bestFit="1" customWidth="1"/>
    <col min="8" max="8" width="10" customWidth="1"/>
    <col min="10" max="10" width="82.42578125" bestFit="1" customWidth="1"/>
    <col min="11" max="11" width="10.7109375" bestFit="1" customWidth="1"/>
    <col min="12" max="12" width="3.140625" customWidth="1"/>
    <col min="13" max="13" width="10.7109375" style="29" bestFit="1" customWidth="1"/>
    <col min="14" max="14" width="18.42578125" customWidth="1"/>
    <col min="15" max="15" width="6.42578125" customWidth="1"/>
    <col min="16" max="16" width="10.7109375" bestFit="1" customWidth="1"/>
    <col min="17" max="17" width="3.85546875" customWidth="1"/>
    <col min="18" max="18" width="10.7109375" bestFit="1" customWidth="1"/>
  </cols>
  <sheetData>
    <row r="1" spans="1:19" x14ac:dyDescent="0.25">
      <c r="A1" s="155" t="s">
        <v>48</v>
      </c>
      <c r="B1" s="156"/>
      <c r="C1" s="156"/>
      <c r="D1" s="156"/>
      <c r="E1" s="156"/>
      <c r="F1" s="156"/>
      <c r="G1" s="156"/>
      <c r="H1" s="157"/>
      <c r="J1" s="158" t="s">
        <v>1</v>
      </c>
      <c r="K1" s="159"/>
      <c r="M1" s="26" t="s">
        <v>2</v>
      </c>
    </row>
    <row r="2" spans="1:19" ht="105" x14ac:dyDescent="0.25">
      <c r="A2" s="9" t="s">
        <v>3</v>
      </c>
      <c r="B2" s="9" t="s">
        <v>4</v>
      </c>
      <c r="C2" s="9" t="s">
        <v>5</v>
      </c>
      <c r="D2" s="9" t="s">
        <v>6</v>
      </c>
      <c r="E2" s="9" t="s">
        <v>5</v>
      </c>
      <c r="F2" s="10" t="s">
        <v>7</v>
      </c>
      <c r="G2" s="9" t="s">
        <v>5</v>
      </c>
      <c r="H2" s="11" t="s">
        <v>8</v>
      </c>
      <c r="J2" s="1" t="s">
        <v>34</v>
      </c>
      <c r="K2" s="2">
        <v>1</v>
      </c>
      <c r="M2" s="27"/>
    </row>
    <row r="3" spans="1:19" x14ac:dyDescent="0.25">
      <c r="A3" s="12">
        <v>1</v>
      </c>
      <c r="B3" s="13">
        <v>5.2</v>
      </c>
      <c r="C3" s="13">
        <v>2</v>
      </c>
      <c r="D3" s="14">
        <v>6.2</v>
      </c>
      <c r="E3" s="14">
        <v>2.4</v>
      </c>
      <c r="F3" s="15">
        <v>6.8</v>
      </c>
      <c r="G3" s="15">
        <v>2.6</v>
      </c>
      <c r="H3" s="16">
        <v>1.6</v>
      </c>
      <c r="J3" s="1" t="s">
        <v>9</v>
      </c>
      <c r="K3" s="2">
        <v>41374</v>
      </c>
      <c r="M3" s="27"/>
    </row>
    <row r="4" spans="1:19" x14ac:dyDescent="0.25">
      <c r="A4" s="17">
        <v>2</v>
      </c>
      <c r="B4" s="13">
        <v>10.4</v>
      </c>
      <c r="C4" s="13">
        <v>4</v>
      </c>
      <c r="D4" s="14">
        <v>12.4</v>
      </c>
      <c r="E4" s="14">
        <v>4.8</v>
      </c>
      <c r="F4" s="15">
        <v>13.6</v>
      </c>
      <c r="G4" s="15">
        <v>5.2</v>
      </c>
      <c r="H4" s="16">
        <v>3.2</v>
      </c>
      <c r="J4" s="3" t="s">
        <v>10</v>
      </c>
      <c r="K4" s="4">
        <f>SUM((K3-K2)+28)</f>
        <v>41401</v>
      </c>
      <c r="M4" s="27"/>
    </row>
    <row r="5" spans="1:19" x14ac:dyDescent="0.25">
      <c r="A5" s="17">
        <v>3</v>
      </c>
      <c r="B5" s="13">
        <v>15.6</v>
      </c>
      <c r="C5" s="13">
        <v>6</v>
      </c>
      <c r="D5" s="14">
        <v>18.600000000000001</v>
      </c>
      <c r="E5" s="14">
        <v>7.2</v>
      </c>
      <c r="F5" s="15">
        <v>20.399999999999999</v>
      </c>
      <c r="G5" s="15">
        <v>7.8</v>
      </c>
      <c r="H5" s="16">
        <v>4.8</v>
      </c>
      <c r="J5" s="5" t="s">
        <v>11</v>
      </c>
      <c r="K5" s="6">
        <v>37</v>
      </c>
      <c r="M5" s="27"/>
    </row>
    <row r="6" spans="1:19" x14ac:dyDescent="0.25">
      <c r="A6" s="17">
        <v>4</v>
      </c>
      <c r="B6" s="13">
        <v>20.8</v>
      </c>
      <c r="C6" s="13">
        <v>8</v>
      </c>
      <c r="D6" s="14">
        <v>24.8</v>
      </c>
      <c r="E6" s="14">
        <v>9.6</v>
      </c>
      <c r="F6" s="15">
        <v>27.2</v>
      </c>
      <c r="G6" s="15">
        <v>10.4</v>
      </c>
      <c r="H6" s="16">
        <v>6.4</v>
      </c>
      <c r="J6" s="5" t="s">
        <v>12</v>
      </c>
      <c r="K6" s="6">
        <v>5</v>
      </c>
      <c r="M6" s="27"/>
    </row>
    <row r="7" spans="1:19" x14ac:dyDescent="0.25">
      <c r="A7" s="17">
        <v>5</v>
      </c>
      <c r="B7" s="13">
        <v>26</v>
      </c>
      <c r="C7" s="13">
        <v>10</v>
      </c>
      <c r="D7" s="14">
        <v>31</v>
      </c>
      <c r="E7" s="14">
        <v>12</v>
      </c>
      <c r="F7" s="15">
        <v>34</v>
      </c>
      <c r="G7" s="15">
        <v>13</v>
      </c>
      <c r="H7" s="16">
        <v>8</v>
      </c>
      <c r="J7" s="3" t="s">
        <v>13</v>
      </c>
      <c r="K7" s="37">
        <f>SUM(K5/K6)</f>
        <v>7.4</v>
      </c>
      <c r="M7" s="27"/>
    </row>
    <row r="8" spans="1:19" x14ac:dyDescent="0.25">
      <c r="A8" s="17">
        <v>6</v>
      </c>
      <c r="B8" s="13">
        <v>31.2</v>
      </c>
      <c r="C8" s="13">
        <v>12</v>
      </c>
      <c r="D8" s="14">
        <v>37.200000000000003</v>
      </c>
      <c r="E8" s="14">
        <v>14.4</v>
      </c>
      <c r="F8" s="15">
        <v>40.799999999999997</v>
      </c>
      <c r="G8" s="15">
        <v>15.6</v>
      </c>
      <c r="H8" s="16">
        <v>9.6</v>
      </c>
      <c r="J8" s="5" t="s">
        <v>14</v>
      </c>
      <c r="K8" s="6">
        <v>192.4</v>
      </c>
      <c r="M8" s="27"/>
    </row>
    <row r="9" spans="1:19" x14ac:dyDescent="0.25">
      <c r="A9" s="17">
        <v>7</v>
      </c>
      <c r="B9" s="13">
        <v>36.4</v>
      </c>
      <c r="C9" s="13">
        <v>14</v>
      </c>
      <c r="D9" s="14">
        <v>43.4</v>
      </c>
      <c r="E9" s="14">
        <v>16.8</v>
      </c>
      <c r="F9" s="15">
        <v>47.6</v>
      </c>
      <c r="G9" s="15">
        <v>18.2</v>
      </c>
      <c r="H9" s="16">
        <v>11.2</v>
      </c>
      <c r="J9" s="1" t="s">
        <v>49</v>
      </c>
      <c r="K9" s="2">
        <v>40637</v>
      </c>
      <c r="M9" s="27"/>
    </row>
    <row r="10" spans="1:19" x14ac:dyDescent="0.25">
      <c r="A10" s="17">
        <v>8</v>
      </c>
      <c r="B10" s="13">
        <v>41.6</v>
      </c>
      <c r="C10" s="13">
        <v>16</v>
      </c>
      <c r="D10" s="14">
        <v>49.6</v>
      </c>
      <c r="E10" s="14">
        <v>19.2</v>
      </c>
      <c r="F10" s="15">
        <v>54.4</v>
      </c>
      <c r="G10" s="15">
        <v>20.8</v>
      </c>
      <c r="H10" s="16">
        <v>12.8</v>
      </c>
      <c r="J10" s="41" t="s">
        <v>50</v>
      </c>
      <c r="K10" s="42">
        <f>IF(K4&gt;365,((((K4-365)*(K8-(2*K7)))/365)+(K8-(2*K7))),((K4*(K8-(2*K7)))/365))</f>
        <v>20144.705753424656</v>
      </c>
      <c r="M10" s="28">
        <f>SUM(K10/K7)</f>
        <v>2722.2575342465748</v>
      </c>
      <c r="N10" t="s">
        <v>51</v>
      </c>
      <c r="O10" t="s">
        <v>52</v>
      </c>
      <c r="P10" s="44">
        <f>K2</f>
        <v>1</v>
      </c>
      <c r="Q10" s="19" t="s">
        <v>53</v>
      </c>
      <c r="R10" s="44">
        <f>K3+28</f>
        <v>41402</v>
      </c>
    </row>
    <row r="11" spans="1:19" x14ac:dyDescent="0.25">
      <c r="A11" s="17">
        <v>9</v>
      </c>
      <c r="B11" s="13">
        <v>46.8</v>
      </c>
      <c r="C11" s="13">
        <v>18</v>
      </c>
      <c r="D11" s="14">
        <v>55.8</v>
      </c>
      <c r="E11" s="14">
        <v>21.6</v>
      </c>
      <c r="F11" s="15">
        <v>61.2</v>
      </c>
      <c r="G11" s="15">
        <v>23.4</v>
      </c>
      <c r="H11" s="16">
        <v>14.4</v>
      </c>
      <c r="I11" s="32"/>
      <c r="J11" s="41" t="s">
        <v>54</v>
      </c>
      <c r="K11" s="42">
        <f>IF(K4&lt;365,((K7*20*(365-K4))/365),0)</f>
        <v>0</v>
      </c>
      <c r="L11" s="19"/>
      <c r="M11" s="28">
        <f>SUM(K11/K7)</f>
        <v>0</v>
      </c>
      <c r="N11" t="s">
        <v>51</v>
      </c>
      <c r="O11" t="s">
        <v>52</v>
      </c>
      <c r="P11" s="44">
        <f>K3+29</f>
        <v>41403</v>
      </c>
      <c r="Q11" s="19" t="s">
        <v>53</v>
      </c>
      <c r="R11" s="44">
        <f>K2+365</f>
        <v>366</v>
      </c>
      <c r="S11" t="s">
        <v>55</v>
      </c>
    </row>
    <row r="12" spans="1:19" x14ac:dyDescent="0.25">
      <c r="A12" s="17">
        <v>10</v>
      </c>
      <c r="B12" s="13">
        <v>52</v>
      </c>
      <c r="C12" s="13">
        <v>20</v>
      </c>
      <c r="D12" s="14">
        <v>62</v>
      </c>
      <c r="E12" s="14">
        <v>24</v>
      </c>
      <c r="F12" s="15">
        <v>68</v>
      </c>
      <c r="G12" s="15">
        <v>26</v>
      </c>
      <c r="H12" s="16">
        <v>16</v>
      </c>
      <c r="I12" s="32"/>
      <c r="J12" s="41" t="s">
        <v>56</v>
      </c>
      <c r="K12" s="42">
        <f>IF(K4&gt;365,((((K9-(K2+365))-(K4-365))*K7*20)/365),0)</f>
        <v>-310.1917808219178</v>
      </c>
      <c r="L12" s="19"/>
      <c r="M12" s="28">
        <f>SUM(K12/K7)</f>
        <v>-41.917808219178077</v>
      </c>
      <c r="N12" t="s">
        <v>57</v>
      </c>
      <c r="O12" t="s">
        <v>52</v>
      </c>
      <c r="P12" s="44">
        <f>R10+1</f>
        <v>41403</v>
      </c>
      <c r="Q12" s="19" t="s">
        <v>53</v>
      </c>
      <c r="R12" s="44">
        <f>K9-1</f>
        <v>40636</v>
      </c>
    </row>
    <row r="13" spans="1:19" x14ac:dyDescent="0.25">
      <c r="A13" s="17">
        <v>11</v>
      </c>
      <c r="B13" s="13">
        <v>57.2</v>
      </c>
      <c r="C13" s="13">
        <v>22</v>
      </c>
      <c r="D13" s="14">
        <v>68.2</v>
      </c>
      <c r="E13" s="14">
        <v>26.4</v>
      </c>
      <c r="F13" s="15">
        <v>74.8</v>
      </c>
      <c r="G13" s="15">
        <v>28.6</v>
      </c>
      <c r="H13" s="16">
        <v>17.600000000000001</v>
      </c>
      <c r="I13" s="32"/>
      <c r="J13" s="1" t="s">
        <v>58</v>
      </c>
      <c r="K13" s="2">
        <v>40708</v>
      </c>
      <c r="L13" s="19"/>
      <c r="M13" s="28"/>
    </row>
    <row r="14" spans="1:19" x14ac:dyDescent="0.25">
      <c r="A14" s="17">
        <v>12</v>
      </c>
      <c r="B14" s="13">
        <v>62.4</v>
      </c>
      <c r="C14" s="13">
        <v>24</v>
      </c>
      <c r="D14" s="14">
        <v>74.400000000000006</v>
      </c>
      <c r="E14" s="14">
        <v>28.8</v>
      </c>
      <c r="F14" s="15">
        <v>81.599999999999994</v>
      </c>
      <c r="G14" s="15">
        <v>31.2</v>
      </c>
      <c r="H14" s="16">
        <v>19.2</v>
      </c>
      <c r="I14" s="32"/>
      <c r="J14" s="1" t="s">
        <v>49</v>
      </c>
      <c r="K14" s="2">
        <v>41239</v>
      </c>
      <c r="L14" s="19"/>
      <c r="M14" s="28"/>
    </row>
    <row r="15" spans="1:19" x14ac:dyDescent="0.25">
      <c r="A15" s="17">
        <v>13</v>
      </c>
      <c r="B15" s="13">
        <v>67.599999999999994</v>
      </c>
      <c r="C15" s="13">
        <v>26</v>
      </c>
      <c r="D15" s="14">
        <v>80.599999999999994</v>
      </c>
      <c r="E15" s="14">
        <v>31.2</v>
      </c>
      <c r="F15" s="15">
        <v>88.4</v>
      </c>
      <c r="G15" s="15">
        <v>33.799999999999997</v>
      </c>
      <c r="H15" s="16">
        <v>20.8</v>
      </c>
      <c r="I15" s="32"/>
      <c r="J15" s="3" t="s">
        <v>59</v>
      </c>
      <c r="K15" s="37">
        <f>SUM((K13-K9)+28)</f>
        <v>99</v>
      </c>
      <c r="L15" s="19"/>
      <c r="M15" s="28"/>
    </row>
    <row r="16" spans="1:19" x14ac:dyDescent="0.25">
      <c r="A16" s="17">
        <v>14</v>
      </c>
      <c r="B16" s="13">
        <v>72.8</v>
      </c>
      <c r="C16" s="13">
        <v>28</v>
      </c>
      <c r="D16" s="14">
        <v>86.8</v>
      </c>
      <c r="E16" s="14">
        <v>33.6</v>
      </c>
      <c r="F16" s="15">
        <v>95.2</v>
      </c>
      <c r="G16" s="15">
        <v>36.4</v>
      </c>
      <c r="H16" s="16">
        <v>22.4</v>
      </c>
      <c r="I16" s="32"/>
      <c r="J16" s="41" t="s">
        <v>60</v>
      </c>
      <c r="K16" s="42">
        <f>SUM((K15*(K8-(2*K7)))/365)</f>
        <v>48.170958904109582</v>
      </c>
      <c r="M16" s="28">
        <f>SUM(K16/K7)</f>
        <v>6.5095890410958894</v>
      </c>
      <c r="N16" t="s">
        <v>61</v>
      </c>
      <c r="O16" t="s">
        <v>52</v>
      </c>
      <c r="P16" s="44">
        <f>K9</f>
        <v>40637</v>
      </c>
      <c r="Q16" t="s">
        <v>53</v>
      </c>
      <c r="R16" s="44">
        <f>K13+28</f>
        <v>40736</v>
      </c>
    </row>
    <row r="17" spans="1:18" x14ac:dyDescent="0.25">
      <c r="A17" s="17">
        <v>15</v>
      </c>
      <c r="B17" s="13">
        <v>78</v>
      </c>
      <c r="C17" s="13">
        <v>30</v>
      </c>
      <c r="D17" s="14">
        <v>93</v>
      </c>
      <c r="E17" s="14">
        <v>36</v>
      </c>
      <c r="F17" s="15">
        <v>102</v>
      </c>
      <c r="G17" s="15">
        <v>39</v>
      </c>
      <c r="H17" s="16">
        <v>24</v>
      </c>
      <c r="I17" s="32"/>
      <c r="J17" s="41" t="s">
        <v>62</v>
      </c>
      <c r="K17" s="42">
        <f>SUM(((K7*20*(K14-K13-28))/365))</f>
        <v>203.95616438356166</v>
      </c>
      <c r="M17" s="28">
        <f>SUM(K17/K7)</f>
        <v>27.56164383561644</v>
      </c>
      <c r="N17" t="s">
        <v>61</v>
      </c>
      <c r="O17" t="s">
        <v>52</v>
      </c>
      <c r="P17" s="44">
        <f>K13+29</f>
        <v>40737</v>
      </c>
      <c r="Q17" t="s">
        <v>53</v>
      </c>
      <c r="R17" s="44">
        <f>K14-1</f>
        <v>41238</v>
      </c>
    </row>
    <row r="18" spans="1:18" x14ac:dyDescent="0.25">
      <c r="A18" s="17">
        <v>16</v>
      </c>
      <c r="B18" s="13">
        <v>83.2</v>
      </c>
      <c r="C18" s="13">
        <v>32</v>
      </c>
      <c r="D18" s="14">
        <v>99.2</v>
      </c>
      <c r="E18" s="14">
        <v>38.4</v>
      </c>
      <c r="F18" s="15">
        <v>108.8</v>
      </c>
      <c r="G18" s="15">
        <v>41.6</v>
      </c>
      <c r="H18" s="16">
        <v>25.6</v>
      </c>
      <c r="I18" s="32"/>
      <c r="J18" s="1" t="s">
        <v>63</v>
      </c>
      <c r="K18" s="2">
        <v>0</v>
      </c>
      <c r="M18" s="27"/>
    </row>
    <row r="19" spans="1:18" x14ac:dyDescent="0.25">
      <c r="A19" s="17">
        <v>17</v>
      </c>
      <c r="B19" s="13">
        <v>88.4</v>
      </c>
      <c r="C19" s="13">
        <v>34</v>
      </c>
      <c r="D19" s="14">
        <v>105.4</v>
      </c>
      <c r="E19" s="14">
        <v>40.799999999999997</v>
      </c>
      <c r="F19" s="15">
        <v>115.6</v>
      </c>
      <c r="G19" s="15">
        <v>44.2</v>
      </c>
      <c r="H19" s="16">
        <v>27.2</v>
      </c>
      <c r="I19" s="32"/>
      <c r="J19" s="1" t="s">
        <v>64</v>
      </c>
      <c r="K19" s="2">
        <v>0</v>
      </c>
      <c r="M19" s="27"/>
    </row>
    <row r="20" spans="1:18" x14ac:dyDescent="0.25">
      <c r="A20" s="17">
        <v>18</v>
      </c>
      <c r="B20" s="13">
        <v>93.6</v>
      </c>
      <c r="C20" s="13">
        <v>36</v>
      </c>
      <c r="D20" s="14">
        <v>111.6</v>
      </c>
      <c r="E20" s="14">
        <v>43.2</v>
      </c>
      <c r="F20" s="15">
        <v>122.4</v>
      </c>
      <c r="G20" s="15">
        <v>46.8</v>
      </c>
      <c r="H20" s="16">
        <v>28.8</v>
      </c>
      <c r="I20" s="32"/>
      <c r="J20" s="3" t="s">
        <v>59</v>
      </c>
      <c r="K20" s="37">
        <f>SUM((K18-K14)+28)</f>
        <v>-41211</v>
      </c>
      <c r="M20" s="27"/>
    </row>
    <row r="21" spans="1:18" x14ac:dyDescent="0.25">
      <c r="A21" s="17">
        <v>19</v>
      </c>
      <c r="B21" s="13">
        <v>98.8</v>
      </c>
      <c r="C21" s="13">
        <v>38</v>
      </c>
      <c r="D21" s="14">
        <v>117.8</v>
      </c>
      <c r="E21" s="14">
        <v>45.6</v>
      </c>
      <c r="F21" s="15">
        <v>129.19999999999999</v>
      </c>
      <c r="G21" s="15">
        <v>49.4</v>
      </c>
      <c r="H21" s="16">
        <v>30.4</v>
      </c>
      <c r="I21" s="32"/>
      <c r="J21" s="41" t="s">
        <v>65</v>
      </c>
      <c r="K21" s="42">
        <f>SUM((K20*K8)/365)</f>
        <v>-21723.27780821918</v>
      </c>
      <c r="M21" s="28">
        <f>SUM(K21/K7)</f>
        <v>-2935.578082191781</v>
      </c>
      <c r="N21" t="s">
        <v>66</v>
      </c>
      <c r="O21" t="s">
        <v>52</v>
      </c>
      <c r="P21" s="44">
        <f>K14</f>
        <v>41239</v>
      </c>
      <c r="Q21" t="s">
        <v>53</v>
      </c>
      <c r="R21" s="44">
        <f>K18+28</f>
        <v>28</v>
      </c>
    </row>
    <row r="22" spans="1:18" x14ac:dyDescent="0.25">
      <c r="A22" s="17">
        <v>20</v>
      </c>
      <c r="B22" s="13">
        <v>104</v>
      </c>
      <c r="C22" s="13">
        <v>40</v>
      </c>
      <c r="D22" s="14">
        <v>124</v>
      </c>
      <c r="E22" s="14">
        <v>48</v>
      </c>
      <c r="F22" s="15">
        <v>136</v>
      </c>
      <c r="G22" s="15">
        <v>52</v>
      </c>
      <c r="H22" s="16">
        <v>32</v>
      </c>
      <c r="I22" s="32"/>
      <c r="J22" s="41" t="s">
        <v>67</v>
      </c>
      <c r="K22" s="42">
        <f>SUM(((K7*20*(K19-K18-28))/365))</f>
        <v>-11.353424657534246</v>
      </c>
      <c r="L22" s="19"/>
      <c r="M22" s="28">
        <f>SUM(K22/K7)</f>
        <v>-1.5342465753424657</v>
      </c>
      <c r="N22" t="s">
        <v>66</v>
      </c>
      <c r="O22" t="s">
        <v>52</v>
      </c>
      <c r="P22" s="44">
        <f>K18+29</f>
        <v>29</v>
      </c>
      <c r="Q22" t="s">
        <v>53</v>
      </c>
      <c r="R22" s="44">
        <f>K19</f>
        <v>0</v>
      </c>
    </row>
    <row r="23" spans="1:18" x14ac:dyDescent="0.25">
      <c r="A23" s="17">
        <v>21</v>
      </c>
      <c r="B23" s="13">
        <v>109.2</v>
      </c>
      <c r="C23" s="13">
        <v>42</v>
      </c>
      <c r="D23" s="14">
        <v>130.19999999999999</v>
      </c>
      <c r="E23" s="14">
        <v>50.4</v>
      </c>
      <c r="F23" s="15">
        <v>142.80000000000001</v>
      </c>
      <c r="G23" s="15">
        <v>54.6</v>
      </c>
      <c r="H23" s="16">
        <v>33.6</v>
      </c>
      <c r="I23" s="32"/>
      <c r="J23" s="1" t="s">
        <v>68</v>
      </c>
      <c r="K23" s="45">
        <f>IF((K2+365)&gt;K19,(K2+365),(K2+365+365+365))</f>
        <v>366</v>
      </c>
      <c r="M23" s="27"/>
    </row>
    <row r="24" spans="1:18" ht="15.75" thickBot="1" x14ac:dyDescent="0.3">
      <c r="A24" s="17">
        <v>22</v>
      </c>
      <c r="B24" s="13">
        <v>114.4</v>
      </c>
      <c r="C24" s="13">
        <v>44</v>
      </c>
      <c r="D24" s="14">
        <v>136.4</v>
      </c>
      <c r="E24" s="14">
        <v>52.8</v>
      </c>
      <c r="F24" s="15">
        <v>149.6</v>
      </c>
      <c r="G24" s="15">
        <v>57.2</v>
      </c>
      <c r="H24" s="16">
        <v>35.200000000000003</v>
      </c>
      <c r="J24" s="3" t="s">
        <v>22</v>
      </c>
      <c r="K24" s="4">
        <f>SUM(K23-K19)</f>
        <v>366</v>
      </c>
      <c r="M24" s="27"/>
      <c r="N24" t="s">
        <v>69</v>
      </c>
      <c r="O24" t="s">
        <v>70</v>
      </c>
      <c r="P24" s="44">
        <f>K19</f>
        <v>0</v>
      </c>
      <c r="Q24" t="s">
        <v>53</v>
      </c>
      <c r="R24" s="44">
        <f>K23</f>
        <v>366</v>
      </c>
    </row>
    <row r="25" spans="1:18" x14ac:dyDescent="0.25">
      <c r="A25" s="17">
        <v>23</v>
      </c>
      <c r="B25" s="13">
        <v>119.6</v>
      </c>
      <c r="C25" s="13">
        <v>46</v>
      </c>
      <c r="D25" s="14">
        <v>142.6</v>
      </c>
      <c r="E25" s="14">
        <v>55.2</v>
      </c>
      <c r="F25" s="15">
        <v>156.4</v>
      </c>
      <c r="G25" s="15">
        <v>59.8</v>
      </c>
      <c r="H25" s="16">
        <v>36.799999999999997</v>
      </c>
      <c r="J25" s="1" t="s">
        <v>41</v>
      </c>
      <c r="K25" s="21">
        <v>6</v>
      </c>
      <c r="M25" s="27"/>
    </row>
    <row r="26" spans="1:18" x14ac:dyDescent="0.25">
      <c r="A26" s="17">
        <v>24</v>
      </c>
      <c r="B26" s="13">
        <v>124.8</v>
      </c>
      <c r="C26" s="13">
        <v>48</v>
      </c>
      <c r="D26" s="14">
        <v>148.80000000000001</v>
      </c>
      <c r="E26" s="14">
        <v>57.6</v>
      </c>
      <c r="F26" s="15">
        <v>163.19999999999999</v>
      </c>
      <c r="G26" s="15">
        <v>62.4</v>
      </c>
      <c r="H26" s="16">
        <v>38.4</v>
      </c>
      <c r="J26" s="41" t="s">
        <v>42</v>
      </c>
      <c r="K26" s="42">
        <f>SUM((K24*K8)/365)</f>
        <v>192.92712328767126</v>
      </c>
      <c r="L26" s="19"/>
      <c r="M26" s="28">
        <f>SUM(K26/K7)</f>
        <v>26.071232876712333</v>
      </c>
    </row>
    <row r="27" spans="1:18" ht="15.75" thickBot="1" x14ac:dyDescent="0.3">
      <c r="A27" s="17">
        <v>25</v>
      </c>
      <c r="B27" s="13">
        <v>130</v>
      </c>
      <c r="C27" s="13">
        <v>50</v>
      </c>
      <c r="D27" s="14">
        <v>155</v>
      </c>
      <c r="E27" s="14">
        <v>60</v>
      </c>
      <c r="F27" s="15">
        <v>170</v>
      </c>
      <c r="G27" s="15">
        <v>65</v>
      </c>
      <c r="H27" s="16">
        <v>40</v>
      </c>
      <c r="J27" s="36" t="s">
        <v>43</v>
      </c>
      <c r="K27" s="43">
        <f>SUM((K21*((20+K25)*K7))/365)</f>
        <v>-11450.845617264029</v>
      </c>
      <c r="L27" s="19"/>
      <c r="M27" s="28">
        <f>SUM(K27/K7)</f>
        <v>-1547.4115699005445</v>
      </c>
    </row>
    <row r="28" spans="1:18" ht="15.75" thickBot="1" x14ac:dyDescent="0.3">
      <c r="A28" s="17">
        <v>26</v>
      </c>
      <c r="B28" s="13">
        <v>135.19999999999999</v>
      </c>
      <c r="C28" s="13">
        <v>52</v>
      </c>
      <c r="D28" s="14">
        <v>161.19999999999999</v>
      </c>
      <c r="E28" s="14">
        <v>62.4</v>
      </c>
      <c r="F28" s="15">
        <v>176.8</v>
      </c>
      <c r="G28" s="15">
        <v>67.599999999999994</v>
      </c>
      <c r="H28" s="16">
        <v>41.6</v>
      </c>
      <c r="J28" s="34" t="s">
        <v>44</v>
      </c>
      <c r="K28" s="35"/>
      <c r="L28" s="19"/>
      <c r="M28" s="28"/>
    </row>
    <row r="29" spans="1:18" x14ac:dyDescent="0.25">
      <c r="A29" s="17">
        <v>27</v>
      </c>
      <c r="B29" s="13">
        <v>140.4</v>
      </c>
      <c r="C29" s="13">
        <v>54</v>
      </c>
      <c r="D29" s="14">
        <v>167.4</v>
      </c>
      <c r="E29" s="14">
        <v>64.8</v>
      </c>
      <c r="F29" s="15">
        <v>183.6</v>
      </c>
      <c r="G29" s="15">
        <v>70.2</v>
      </c>
      <c r="H29" s="16">
        <v>43.2</v>
      </c>
      <c r="J29" s="20" t="s">
        <v>71</v>
      </c>
      <c r="K29" s="21">
        <v>0</v>
      </c>
      <c r="M29" s="27"/>
      <c r="N29" t="s">
        <v>72</v>
      </c>
      <c r="O29" t="s">
        <v>52</v>
      </c>
      <c r="P29" s="44">
        <f>K2</f>
        <v>1</v>
      </c>
      <c r="Q29" t="s">
        <v>53</v>
      </c>
      <c r="R29" s="44">
        <f>K23</f>
        <v>366</v>
      </c>
    </row>
    <row r="30" spans="1:18" ht="15.75" thickBot="1" x14ac:dyDescent="0.3">
      <c r="A30" s="17">
        <v>28</v>
      </c>
      <c r="B30" s="13">
        <v>145.6</v>
      </c>
      <c r="C30" s="13">
        <v>56</v>
      </c>
      <c r="D30" s="14">
        <v>173.6</v>
      </c>
      <c r="E30" s="14">
        <v>67.2</v>
      </c>
      <c r="F30" s="15">
        <v>190.4</v>
      </c>
      <c r="G30" s="15">
        <v>72.8</v>
      </c>
      <c r="H30" s="16">
        <v>44.8</v>
      </c>
      <c r="J30" s="30" t="s">
        <v>46</v>
      </c>
      <c r="K30" s="31">
        <f>SUM((K10+K11+K12+K17+K22)-(K29*K7))</f>
        <v>20027.116712328767</v>
      </c>
      <c r="M30" s="40">
        <f>SUM(K30/K7)</f>
        <v>2706.3671232876709</v>
      </c>
      <c r="N30" t="s">
        <v>73</v>
      </c>
    </row>
    <row r="31" spans="1:18" ht="15.75" thickBot="1" x14ac:dyDescent="0.3">
      <c r="A31" s="17">
        <v>29</v>
      </c>
      <c r="B31" s="13">
        <v>150.80000000000001</v>
      </c>
      <c r="C31" s="13">
        <v>58</v>
      </c>
      <c r="D31" s="14">
        <v>179.8</v>
      </c>
      <c r="E31" s="14">
        <v>69.599999999999994</v>
      </c>
      <c r="F31" s="15">
        <v>197.2</v>
      </c>
      <c r="G31" s="15">
        <v>75.400000000000006</v>
      </c>
      <c r="H31" s="16">
        <v>46.4</v>
      </c>
      <c r="J31" s="33"/>
      <c r="K31" s="38"/>
      <c r="M31" s="28"/>
    </row>
    <row r="32" spans="1:18" ht="15.75" thickBot="1" x14ac:dyDescent="0.3">
      <c r="A32" s="17">
        <v>30</v>
      </c>
      <c r="B32" s="13">
        <v>156</v>
      </c>
      <c r="C32" s="13">
        <v>60</v>
      </c>
      <c r="D32" s="14">
        <v>186</v>
      </c>
      <c r="E32" s="14">
        <v>72</v>
      </c>
      <c r="F32" s="15">
        <v>204</v>
      </c>
      <c r="G32" s="15">
        <v>78</v>
      </c>
      <c r="H32" s="16">
        <v>48</v>
      </c>
      <c r="J32" s="30" t="s">
        <v>74</v>
      </c>
      <c r="K32" s="31">
        <f>SUM((K10+K11+K12+K16+K17+K21+K22+K26)-(K29*K7))</f>
        <v>-1455.063013698634</v>
      </c>
      <c r="M32" s="39">
        <f>SUM(K32/K7)</f>
        <v>-196.63013698630189</v>
      </c>
    </row>
    <row r="33" spans="1:11" ht="15.75" thickBot="1" x14ac:dyDescent="0.3">
      <c r="A33" s="17">
        <v>31</v>
      </c>
      <c r="B33" s="13">
        <v>161.19999999999999</v>
      </c>
      <c r="C33" s="13">
        <v>62</v>
      </c>
      <c r="D33" s="14">
        <v>192.2</v>
      </c>
      <c r="E33" s="14">
        <v>74.400000000000006</v>
      </c>
      <c r="F33" s="15">
        <v>210.8</v>
      </c>
      <c r="G33" s="15">
        <v>80.599999999999994</v>
      </c>
      <c r="H33" s="16">
        <v>49.6</v>
      </c>
      <c r="J33" s="24" t="s">
        <v>29</v>
      </c>
      <c r="K33" s="25">
        <f>SUM(K25*K7)</f>
        <v>44.400000000000006</v>
      </c>
    </row>
    <row r="34" spans="1:11" x14ac:dyDescent="0.25">
      <c r="A34" s="17">
        <v>32</v>
      </c>
      <c r="B34" s="13">
        <v>166.4</v>
      </c>
      <c r="C34" s="13">
        <v>64</v>
      </c>
      <c r="D34" s="14">
        <v>198.4</v>
      </c>
      <c r="E34" s="14">
        <v>76.8</v>
      </c>
      <c r="F34" s="15">
        <v>217.6</v>
      </c>
      <c r="G34" s="15">
        <v>83.2</v>
      </c>
      <c r="H34" s="16">
        <v>51.2</v>
      </c>
    </row>
    <row r="35" spans="1:11" x14ac:dyDescent="0.25">
      <c r="A35" s="17">
        <v>33</v>
      </c>
      <c r="B35" s="13">
        <v>171.6</v>
      </c>
      <c r="C35" s="13">
        <v>66</v>
      </c>
      <c r="D35" s="14">
        <v>204.6</v>
      </c>
      <c r="E35" s="14">
        <v>79.2</v>
      </c>
      <c r="F35" s="15">
        <v>224.4</v>
      </c>
      <c r="G35" s="15">
        <v>85.8</v>
      </c>
      <c r="H35" s="16">
        <v>52.8</v>
      </c>
      <c r="J35" s="7" t="s">
        <v>30</v>
      </c>
    </row>
    <row r="36" spans="1:11" x14ac:dyDescent="0.25">
      <c r="A36" s="17">
        <v>34</v>
      </c>
      <c r="B36" s="13">
        <v>176.8</v>
      </c>
      <c r="C36" s="13">
        <v>68</v>
      </c>
      <c r="D36" s="14">
        <v>210.8</v>
      </c>
      <c r="E36" s="14">
        <v>81.599999999999994</v>
      </c>
      <c r="F36" s="15">
        <v>231.2</v>
      </c>
      <c r="G36" s="15">
        <v>88.4</v>
      </c>
      <c r="H36" s="16">
        <v>54.4</v>
      </c>
      <c r="J36" s="8" t="s">
        <v>31</v>
      </c>
    </row>
    <row r="37" spans="1:11" x14ac:dyDescent="0.25">
      <c r="A37" s="17">
        <v>35</v>
      </c>
      <c r="B37" s="13">
        <v>182</v>
      </c>
      <c r="C37" s="13">
        <v>70</v>
      </c>
      <c r="D37" s="14">
        <v>217</v>
      </c>
      <c r="E37" s="14">
        <v>84</v>
      </c>
      <c r="F37" s="15">
        <v>238</v>
      </c>
      <c r="G37" s="15">
        <v>91</v>
      </c>
      <c r="H37" s="16">
        <v>56</v>
      </c>
    </row>
    <row r="38" spans="1:11" x14ac:dyDescent="0.25">
      <c r="A38" s="17">
        <v>36</v>
      </c>
      <c r="B38" s="13">
        <v>187.2</v>
      </c>
      <c r="C38" s="13">
        <v>72</v>
      </c>
      <c r="D38" s="14">
        <v>223.2</v>
      </c>
      <c r="E38" s="14">
        <v>86.4</v>
      </c>
      <c r="F38" s="15">
        <v>244.8</v>
      </c>
      <c r="G38" s="15">
        <v>93.6</v>
      </c>
      <c r="H38" s="16">
        <v>57.6</v>
      </c>
    </row>
    <row r="39" spans="1:11" ht="15.75" thickBot="1" x14ac:dyDescent="0.3">
      <c r="A39" s="18">
        <v>37</v>
      </c>
      <c r="B39" s="13">
        <v>192.4</v>
      </c>
      <c r="C39" s="13">
        <v>74</v>
      </c>
      <c r="D39" s="14">
        <v>229.4</v>
      </c>
      <c r="E39" s="14">
        <v>88.8</v>
      </c>
      <c r="F39" s="15">
        <v>251.6</v>
      </c>
      <c r="G39" s="15">
        <v>96.2</v>
      </c>
      <c r="H39" s="16">
        <v>59.2</v>
      </c>
      <c r="J39" t="s">
        <v>75</v>
      </c>
    </row>
    <row r="40" spans="1:11" x14ac:dyDescent="0.25">
      <c r="J40" t="s">
        <v>76</v>
      </c>
    </row>
    <row r="41" spans="1:11" x14ac:dyDescent="0.25">
      <c r="J41" s="22"/>
    </row>
    <row r="42" spans="1:11" x14ac:dyDescent="0.25">
      <c r="J42" s="22"/>
    </row>
    <row r="43" spans="1:11" x14ac:dyDescent="0.25">
      <c r="J43" s="22"/>
    </row>
    <row r="44" spans="1:11" x14ac:dyDescent="0.25">
      <c r="J44" s="22"/>
    </row>
    <row r="45" spans="1:11" x14ac:dyDescent="0.25">
      <c r="J45" s="23"/>
    </row>
    <row r="46" spans="1:11" x14ac:dyDescent="0.25">
      <c r="J46" s="22"/>
    </row>
    <row r="47" spans="1:11" x14ac:dyDescent="0.25">
      <c r="J47" s="22"/>
    </row>
    <row r="48" spans="1:11" x14ac:dyDescent="0.25">
      <c r="J48" s="22"/>
    </row>
    <row r="49" spans="10:10" x14ac:dyDescent="0.25">
      <c r="J49" s="23"/>
    </row>
    <row r="50" spans="10:10" x14ac:dyDescent="0.25">
      <c r="J50" s="22"/>
    </row>
    <row r="51" spans="10:10" x14ac:dyDescent="0.25">
      <c r="J51" s="22"/>
    </row>
    <row r="52" spans="10:10" x14ac:dyDescent="0.25">
      <c r="J52" s="22"/>
    </row>
    <row r="53" spans="10:10" x14ac:dyDescent="0.25">
      <c r="J53" s="22"/>
    </row>
    <row r="54" spans="10:10" x14ac:dyDescent="0.25">
      <c r="J54" s="22"/>
    </row>
    <row r="55" spans="10:10" x14ac:dyDescent="0.25">
      <c r="J55" s="23"/>
    </row>
    <row r="56" spans="10:10" x14ac:dyDescent="0.25">
      <c r="J56" s="22"/>
    </row>
    <row r="57" spans="10:10" x14ac:dyDescent="0.25">
      <c r="J57" s="22"/>
    </row>
    <row r="58" spans="10:10" x14ac:dyDescent="0.25">
      <c r="J58" s="22"/>
    </row>
    <row r="59" spans="10:10" x14ac:dyDescent="0.25">
      <c r="J59" s="22"/>
    </row>
    <row r="60" spans="10:10" x14ac:dyDescent="0.25">
      <c r="J60" s="22"/>
    </row>
    <row r="61" spans="10:10" x14ac:dyDescent="0.25">
      <c r="J61" s="22"/>
    </row>
    <row r="62" spans="10:10" x14ac:dyDescent="0.25">
      <c r="J62" s="22"/>
    </row>
    <row r="63" spans="10:10" x14ac:dyDescent="0.25">
      <c r="J63" s="22"/>
    </row>
  </sheetData>
  <mergeCells count="2">
    <mergeCell ref="A1:H1"/>
    <mergeCell ref="J1:K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A30" sqref="A30"/>
    </sheetView>
  </sheetViews>
  <sheetFormatPr defaultRowHeight="15" x14ac:dyDescent="0.25"/>
  <cols>
    <col min="1" max="1" width="90" bestFit="1" customWidth="1"/>
    <col min="2" max="2" width="10.7109375" bestFit="1" customWidth="1"/>
  </cols>
  <sheetData>
    <row r="1" spans="1:2" x14ac:dyDescent="0.25">
      <c r="A1" s="160" t="s">
        <v>77</v>
      </c>
      <c r="B1" s="161"/>
    </row>
    <row r="2" spans="1:2" x14ac:dyDescent="0.25">
      <c r="A2" s="1" t="s">
        <v>78</v>
      </c>
      <c r="B2" s="2">
        <v>42464</v>
      </c>
    </row>
    <row r="3" spans="1:2" x14ac:dyDescent="0.25">
      <c r="A3" s="46" t="s">
        <v>79</v>
      </c>
      <c r="B3" s="6">
        <v>12</v>
      </c>
    </row>
    <row r="4" spans="1:2" x14ac:dyDescent="0.25">
      <c r="A4" s="3" t="s">
        <v>80</v>
      </c>
      <c r="B4" s="47">
        <f>SUM((B3*7)+B2)</f>
        <v>42548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2"/>
  <sheetViews>
    <sheetView workbookViewId="0">
      <selection activeCell="C14" sqref="C14"/>
    </sheetView>
  </sheetViews>
  <sheetFormatPr defaultRowHeight="15" x14ac:dyDescent="0.25"/>
  <cols>
    <col min="1" max="1" width="18.5703125" bestFit="1" customWidth="1"/>
    <col min="2" max="2" width="15.5703125" bestFit="1" customWidth="1"/>
  </cols>
  <sheetData>
    <row r="1" spans="1:2" ht="15.75" thickBot="1" x14ac:dyDescent="0.3">
      <c r="A1" s="48" t="s">
        <v>81</v>
      </c>
      <c r="B1" s="49" t="s">
        <v>82</v>
      </c>
    </row>
    <row r="2" spans="1:2" x14ac:dyDescent="0.25">
      <c r="A2" s="50">
        <v>60</v>
      </c>
      <c r="B2" s="51" t="s">
        <v>83</v>
      </c>
    </row>
    <row r="3" spans="1:2" x14ac:dyDescent="0.25">
      <c r="A3" s="50">
        <f>SUM(A2-1)</f>
        <v>59</v>
      </c>
      <c r="B3" s="52">
        <v>0.98</v>
      </c>
    </row>
    <row r="4" spans="1:2" x14ac:dyDescent="0.25">
      <c r="A4" s="50">
        <f t="shared" ref="A4:A62" si="0">SUM(A3-1)</f>
        <v>58</v>
      </c>
      <c r="B4" s="52">
        <v>0.96</v>
      </c>
    </row>
    <row r="5" spans="1:2" x14ac:dyDescent="0.25">
      <c r="A5" s="50">
        <f t="shared" si="0"/>
        <v>57</v>
      </c>
      <c r="B5" s="52">
        <v>0.95</v>
      </c>
    </row>
    <row r="6" spans="1:2" x14ac:dyDescent="0.25">
      <c r="A6" s="50">
        <f t="shared" si="0"/>
        <v>56</v>
      </c>
      <c r="B6" s="52">
        <v>0.93</v>
      </c>
    </row>
    <row r="7" spans="1:2" x14ac:dyDescent="0.25">
      <c r="A7" s="50">
        <f t="shared" si="0"/>
        <v>55</v>
      </c>
      <c r="B7" s="52">
        <v>0.91</v>
      </c>
    </row>
    <row r="8" spans="1:2" x14ac:dyDescent="0.25">
      <c r="A8" s="50">
        <f t="shared" si="0"/>
        <v>54</v>
      </c>
      <c r="B8" s="52">
        <v>0.9</v>
      </c>
    </row>
    <row r="9" spans="1:2" x14ac:dyDescent="0.25">
      <c r="A9" s="50">
        <f t="shared" si="0"/>
        <v>53</v>
      </c>
      <c r="B9" s="52">
        <v>0.88</v>
      </c>
    </row>
    <row r="10" spans="1:2" x14ac:dyDescent="0.25">
      <c r="A10" s="50">
        <f t="shared" si="0"/>
        <v>52</v>
      </c>
      <c r="B10" s="52">
        <v>0.86</v>
      </c>
    </row>
    <row r="11" spans="1:2" x14ac:dyDescent="0.25">
      <c r="A11" s="50">
        <f t="shared" si="0"/>
        <v>51</v>
      </c>
      <c r="B11" s="52">
        <v>0.85</v>
      </c>
    </row>
    <row r="12" spans="1:2" x14ac:dyDescent="0.25">
      <c r="A12" s="50">
        <f t="shared" si="0"/>
        <v>50</v>
      </c>
      <c r="B12" s="52">
        <v>0.83</v>
      </c>
    </row>
    <row r="13" spans="1:2" x14ac:dyDescent="0.25">
      <c r="A13" s="50">
        <f t="shared" si="0"/>
        <v>49</v>
      </c>
      <c r="B13" s="52">
        <v>0.81</v>
      </c>
    </row>
    <row r="14" spans="1:2" x14ac:dyDescent="0.25">
      <c r="A14" s="50">
        <f t="shared" si="0"/>
        <v>48</v>
      </c>
      <c r="B14" s="52">
        <v>0.8</v>
      </c>
    </row>
    <row r="15" spans="1:2" x14ac:dyDescent="0.25">
      <c r="A15" s="50">
        <f t="shared" si="0"/>
        <v>47</v>
      </c>
      <c r="B15" s="52">
        <v>0.78</v>
      </c>
    </row>
    <row r="16" spans="1:2" x14ac:dyDescent="0.25">
      <c r="A16" s="50">
        <f t="shared" si="0"/>
        <v>46</v>
      </c>
      <c r="B16" s="52">
        <v>0.76</v>
      </c>
    </row>
    <row r="17" spans="1:2" x14ac:dyDescent="0.25">
      <c r="A17" s="50">
        <f t="shared" si="0"/>
        <v>45</v>
      </c>
      <c r="B17" s="52">
        <v>0.75</v>
      </c>
    </row>
    <row r="18" spans="1:2" x14ac:dyDescent="0.25">
      <c r="A18" s="50">
        <f t="shared" si="0"/>
        <v>44</v>
      </c>
      <c r="B18" s="52">
        <v>0.73</v>
      </c>
    </row>
    <row r="19" spans="1:2" x14ac:dyDescent="0.25">
      <c r="A19" s="50">
        <f t="shared" si="0"/>
        <v>43</v>
      </c>
      <c r="B19" s="52">
        <v>0.71</v>
      </c>
    </row>
    <row r="20" spans="1:2" x14ac:dyDescent="0.25">
      <c r="A20" s="50">
        <f t="shared" si="0"/>
        <v>42</v>
      </c>
      <c r="B20" s="52">
        <v>0.7</v>
      </c>
    </row>
    <row r="21" spans="1:2" x14ac:dyDescent="0.25">
      <c r="A21" s="50">
        <f t="shared" si="0"/>
        <v>41</v>
      </c>
      <c r="B21" s="52">
        <v>0.68</v>
      </c>
    </row>
    <row r="22" spans="1:2" x14ac:dyDescent="0.25">
      <c r="A22" s="50">
        <f t="shared" si="0"/>
        <v>40</v>
      </c>
      <c r="B22" s="52">
        <v>0.66</v>
      </c>
    </row>
    <row r="23" spans="1:2" x14ac:dyDescent="0.25">
      <c r="A23" s="50">
        <f t="shared" si="0"/>
        <v>39</v>
      </c>
      <c r="B23" s="52">
        <v>0.65</v>
      </c>
    </row>
    <row r="24" spans="1:2" x14ac:dyDescent="0.25">
      <c r="A24" s="50">
        <f t="shared" si="0"/>
        <v>38</v>
      </c>
      <c r="B24" s="52">
        <v>0.63</v>
      </c>
    </row>
    <row r="25" spans="1:2" x14ac:dyDescent="0.25">
      <c r="A25" s="50">
        <f t="shared" si="0"/>
        <v>37</v>
      </c>
      <c r="B25" s="52">
        <v>0.61</v>
      </c>
    </row>
    <row r="26" spans="1:2" x14ac:dyDescent="0.25">
      <c r="A26" s="50">
        <f t="shared" si="0"/>
        <v>36</v>
      </c>
      <c r="B26" s="52">
        <v>0.6</v>
      </c>
    </row>
    <row r="27" spans="1:2" x14ac:dyDescent="0.25">
      <c r="A27" s="50">
        <f t="shared" si="0"/>
        <v>35</v>
      </c>
      <c r="B27" s="52">
        <v>0.57999999999999996</v>
      </c>
    </row>
    <row r="28" spans="1:2" x14ac:dyDescent="0.25">
      <c r="A28" s="50">
        <f t="shared" si="0"/>
        <v>34</v>
      </c>
      <c r="B28" s="52">
        <v>0.56000000000000005</v>
      </c>
    </row>
    <row r="29" spans="1:2" x14ac:dyDescent="0.25">
      <c r="A29" s="50">
        <f t="shared" si="0"/>
        <v>33</v>
      </c>
      <c r="B29" s="52">
        <v>0.55000000000000004</v>
      </c>
    </row>
    <row r="30" spans="1:2" x14ac:dyDescent="0.25">
      <c r="A30" s="50">
        <f t="shared" si="0"/>
        <v>32</v>
      </c>
      <c r="B30" s="52">
        <v>0.53</v>
      </c>
    </row>
    <row r="31" spans="1:2" x14ac:dyDescent="0.25">
      <c r="A31" s="50">
        <f t="shared" si="0"/>
        <v>31</v>
      </c>
      <c r="B31" s="52">
        <v>0.51</v>
      </c>
    </row>
    <row r="32" spans="1:2" x14ac:dyDescent="0.25">
      <c r="A32" s="50">
        <f t="shared" si="0"/>
        <v>30</v>
      </c>
      <c r="B32" s="52">
        <v>0.5</v>
      </c>
    </row>
    <row r="33" spans="1:2" x14ac:dyDescent="0.25">
      <c r="A33" s="50">
        <f t="shared" si="0"/>
        <v>29</v>
      </c>
      <c r="B33" s="52">
        <v>0.48</v>
      </c>
    </row>
    <row r="34" spans="1:2" x14ac:dyDescent="0.25">
      <c r="A34" s="50">
        <f t="shared" si="0"/>
        <v>28</v>
      </c>
      <c r="B34" s="52">
        <v>0.46</v>
      </c>
    </row>
    <row r="35" spans="1:2" x14ac:dyDescent="0.25">
      <c r="A35" s="50">
        <f t="shared" si="0"/>
        <v>27</v>
      </c>
      <c r="B35" s="52">
        <v>0.45</v>
      </c>
    </row>
    <row r="36" spans="1:2" x14ac:dyDescent="0.25">
      <c r="A36" s="50">
        <f t="shared" si="0"/>
        <v>26</v>
      </c>
      <c r="B36" s="52">
        <v>0.43</v>
      </c>
    </row>
    <row r="37" spans="1:2" x14ac:dyDescent="0.25">
      <c r="A37" s="50">
        <f t="shared" si="0"/>
        <v>25</v>
      </c>
      <c r="B37" s="52">
        <v>0.41</v>
      </c>
    </row>
    <row r="38" spans="1:2" x14ac:dyDescent="0.25">
      <c r="A38" s="50">
        <f t="shared" si="0"/>
        <v>24</v>
      </c>
      <c r="B38" s="52">
        <v>0.4</v>
      </c>
    </row>
    <row r="39" spans="1:2" x14ac:dyDescent="0.25">
      <c r="A39" s="50">
        <f t="shared" si="0"/>
        <v>23</v>
      </c>
      <c r="B39" s="52">
        <v>0.38</v>
      </c>
    </row>
    <row r="40" spans="1:2" x14ac:dyDescent="0.25">
      <c r="A40" s="50">
        <f t="shared" si="0"/>
        <v>22</v>
      </c>
      <c r="B40" s="52">
        <v>0.36</v>
      </c>
    </row>
    <row r="41" spans="1:2" x14ac:dyDescent="0.25">
      <c r="A41" s="50">
        <f t="shared" si="0"/>
        <v>21</v>
      </c>
      <c r="B41" s="52">
        <v>0.35</v>
      </c>
    </row>
    <row r="42" spans="1:2" x14ac:dyDescent="0.25">
      <c r="A42" s="50">
        <f t="shared" si="0"/>
        <v>20</v>
      </c>
      <c r="B42" s="52">
        <v>0.33</v>
      </c>
    </row>
    <row r="43" spans="1:2" x14ac:dyDescent="0.25">
      <c r="A43" s="50">
        <f t="shared" si="0"/>
        <v>19</v>
      </c>
      <c r="B43" s="52">
        <v>0.31</v>
      </c>
    </row>
    <row r="44" spans="1:2" x14ac:dyDescent="0.25">
      <c r="A44" s="50">
        <f t="shared" si="0"/>
        <v>18</v>
      </c>
      <c r="B44" s="52">
        <v>0.3</v>
      </c>
    </row>
    <row r="45" spans="1:2" x14ac:dyDescent="0.25">
      <c r="A45" s="50">
        <f t="shared" si="0"/>
        <v>17</v>
      </c>
      <c r="B45" s="52">
        <v>0.28000000000000003</v>
      </c>
    </row>
    <row r="46" spans="1:2" x14ac:dyDescent="0.25">
      <c r="A46" s="50">
        <f t="shared" si="0"/>
        <v>16</v>
      </c>
      <c r="B46" s="52">
        <v>0.26</v>
      </c>
    </row>
    <row r="47" spans="1:2" x14ac:dyDescent="0.25">
      <c r="A47" s="50">
        <f t="shared" si="0"/>
        <v>15</v>
      </c>
      <c r="B47" s="52">
        <v>0.25</v>
      </c>
    </row>
    <row r="48" spans="1:2" x14ac:dyDescent="0.25">
      <c r="A48" s="50">
        <f t="shared" si="0"/>
        <v>14</v>
      </c>
      <c r="B48" s="52">
        <v>0.23</v>
      </c>
    </row>
    <row r="49" spans="1:2" x14ac:dyDescent="0.25">
      <c r="A49" s="50">
        <f t="shared" si="0"/>
        <v>13</v>
      </c>
      <c r="B49" s="52">
        <v>0.21</v>
      </c>
    </row>
    <row r="50" spans="1:2" x14ac:dyDescent="0.25">
      <c r="A50" s="50">
        <f t="shared" si="0"/>
        <v>12</v>
      </c>
      <c r="B50" s="52">
        <v>0.2</v>
      </c>
    </row>
    <row r="51" spans="1:2" x14ac:dyDescent="0.25">
      <c r="A51" s="50">
        <f t="shared" si="0"/>
        <v>11</v>
      </c>
      <c r="B51" s="52">
        <v>0.18</v>
      </c>
    </row>
    <row r="52" spans="1:2" x14ac:dyDescent="0.25">
      <c r="A52" s="50">
        <f t="shared" si="0"/>
        <v>10</v>
      </c>
      <c r="B52" s="52">
        <v>0.16</v>
      </c>
    </row>
    <row r="53" spans="1:2" x14ac:dyDescent="0.25">
      <c r="A53" s="50">
        <f t="shared" si="0"/>
        <v>9</v>
      </c>
      <c r="B53" s="52">
        <v>0.15</v>
      </c>
    </row>
    <row r="54" spans="1:2" x14ac:dyDescent="0.25">
      <c r="A54" s="50">
        <f t="shared" si="0"/>
        <v>8</v>
      </c>
      <c r="B54" s="52">
        <v>0.13</v>
      </c>
    </row>
    <row r="55" spans="1:2" x14ac:dyDescent="0.25">
      <c r="A55" s="50">
        <f t="shared" si="0"/>
        <v>7</v>
      </c>
      <c r="B55" s="52">
        <v>0.11</v>
      </c>
    </row>
    <row r="56" spans="1:2" x14ac:dyDescent="0.25">
      <c r="A56" s="50">
        <f t="shared" si="0"/>
        <v>6</v>
      </c>
      <c r="B56" s="52">
        <v>0.1</v>
      </c>
    </row>
    <row r="57" spans="1:2" x14ac:dyDescent="0.25">
      <c r="A57" s="50">
        <f t="shared" si="0"/>
        <v>5</v>
      </c>
      <c r="B57" s="52">
        <v>0.08</v>
      </c>
    </row>
    <row r="58" spans="1:2" x14ac:dyDescent="0.25">
      <c r="A58" s="50">
        <f t="shared" si="0"/>
        <v>4</v>
      </c>
      <c r="B58" s="52">
        <v>0.06</v>
      </c>
    </row>
    <row r="59" spans="1:2" x14ac:dyDescent="0.25">
      <c r="A59" s="50">
        <f t="shared" si="0"/>
        <v>3</v>
      </c>
      <c r="B59" s="52">
        <v>0.05</v>
      </c>
    </row>
    <row r="60" spans="1:2" x14ac:dyDescent="0.25">
      <c r="A60" s="50">
        <f t="shared" si="0"/>
        <v>2</v>
      </c>
      <c r="B60" s="52">
        <v>0.03</v>
      </c>
    </row>
    <row r="61" spans="1:2" x14ac:dyDescent="0.25">
      <c r="A61" s="50">
        <f t="shared" si="0"/>
        <v>1</v>
      </c>
      <c r="B61" s="52">
        <v>0.01</v>
      </c>
    </row>
    <row r="62" spans="1:2" ht="15.75" thickBot="1" x14ac:dyDescent="0.3">
      <c r="A62" s="136">
        <f t="shared" si="0"/>
        <v>0</v>
      </c>
      <c r="B62" s="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d0c5be-ef18-446e-9ad8-b76b42ded427">
      <Terms xmlns="http://schemas.microsoft.com/office/infopath/2007/PartnerControls"/>
    </lcf76f155ced4ddcb4097134ff3c332f>
    <TaxCatchAll xmlns="2fc2a8c7-3b3f-4409-bc78-aa40538e7e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64AD8FE8350742ADCBDAB2764E4C06" ma:contentTypeVersion="16" ma:contentTypeDescription="Create a new document." ma:contentTypeScope="" ma:versionID="4db519e4c9598b83a563a345cae54a1b">
  <xsd:schema xmlns:xsd="http://www.w3.org/2001/XMLSchema" xmlns:xs="http://www.w3.org/2001/XMLSchema" xmlns:p="http://schemas.microsoft.com/office/2006/metadata/properties" xmlns:ns2="c6e5c394-54dd-46f3-a32c-99ea1dc187c2" xmlns:ns3="e2d0c5be-ef18-446e-9ad8-b76b42ded427" xmlns:ns4="2fc2a8c7-3b3f-4409-bc78-aa40538e7eb1" targetNamespace="http://schemas.microsoft.com/office/2006/metadata/properties" ma:root="true" ma:fieldsID="877c68579f2dbc99da0aa969e35b4fc6" ns2:_="" ns3:_="" ns4:_="">
    <xsd:import namespace="c6e5c394-54dd-46f3-a32c-99ea1dc187c2"/>
    <xsd:import namespace="e2d0c5be-ef18-446e-9ad8-b76b42ded427"/>
    <xsd:import namespace="2fc2a8c7-3b3f-4409-bc78-aa40538e7e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5c394-54dd-46f3-a32c-99ea1dc187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0c5be-ef18-446e-9ad8-b76b42ded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b820720-3cae-4e0f-87a0-a0b1591a7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2a8c7-3b3f-4409-bc78-aa40538e7eb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1a229ed-8491-4a6d-bb3c-f7967ac7ed17}" ma:internalName="TaxCatchAll" ma:showField="CatchAllData" ma:web="c6e5c394-54dd-46f3-a32c-99ea1dc187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49773-ADBF-4A3B-A9EB-BDA0CBCE41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E3C3E-3014-4EC8-92C7-F70FFBE00197}">
  <ds:schemaRefs>
    <ds:schemaRef ds:uri="http://schemas.microsoft.com/office/infopath/2007/PartnerControls"/>
    <ds:schemaRef ds:uri="2fc2a8c7-3b3f-4409-bc78-aa40538e7eb1"/>
    <ds:schemaRef ds:uri="http://purl.org/dc/elements/1.1/"/>
    <ds:schemaRef ds:uri="http://schemas.microsoft.com/office/2006/metadata/properties"/>
    <ds:schemaRef ds:uri="c6e5c394-54dd-46f3-a32c-99ea1dc187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2d0c5be-ef18-446e-9ad8-b76b42ded42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7FD96F-4FC9-4704-BEF9-BA596E6F7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e5c394-54dd-46f3-a32c-99ea1dc187c2"/>
    <ds:schemaRef ds:uri="e2d0c5be-ef18-446e-9ad8-b76b42ded427"/>
    <ds:schemaRef ds:uri="2fc2a8c7-3b3f-4409-bc78-aa40538e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Sick over 1 leave year</vt:lpstr>
      <vt:lpstr>Sick over 2 leave years</vt:lpstr>
      <vt:lpstr>multiple LTS dates in progress</vt:lpstr>
      <vt:lpstr>Sickness Dismissal Date</vt:lpstr>
      <vt:lpstr>Minute Guide</vt:lpstr>
      <vt:lpstr>'Sick over 1 leave year'!Print_Area</vt:lpstr>
      <vt:lpstr>'Sick over 2 leave years'!Print_Area</vt:lpstr>
    </vt:vector>
  </TitlesOfParts>
  <Manager/>
  <Company>Carmarthenshire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Kmccarthy</dc:creator>
  <cp:keywords/>
  <dc:description/>
  <cp:lastModifiedBy>Joanne Davies</cp:lastModifiedBy>
  <cp:revision/>
  <dcterms:created xsi:type="dcterms:W3CDTF">2012-05-25T11:51:22Z</dcterms:created>
  <dcterms:modified xsi:type="dcterms:W3CDTF">2026-03-27T11:52:28Z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