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rmarthenshire-my.sharepoint.com/personal/rebeccaevans_carmarthenshire_gov_uk/Documents/Desktop/Annual Leave/"/>
    </mc:Choice>
  </mc:AlternateContent>
  <xr:revisionPtr revIDLastSave="0" documentId="8_{2027F632-557D-417D-8790-0659820BCA26}" xr6:coauthVersionLast="47" xr6:coauthVersionMax="47" xr10:uidLastSave="{00000000-0000-0000-0000-000000000000}"/>
  <bookViews>
    <workbookView xWindow="-120" yWindow="-120" windowWidth="20730" windowHeight="11160" activeTab="2" xr2:uid="{7321AE89-C6EC-400C-97F1-F68E922FF422}"/>
  </bookViews>
  <sheets>
    <sheet name="Salwch dros 1 flynedd o wyliau" sheetId="2" r:id="rId1"/>
    <sheet name="Salwch dros 2 flynedd o wyliau" sheetId="1" r:id="rId2"/>
    <sheet name="Canllaw Munudau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K18" i="2"/>
  <c r="K19" i="2" s="1"/>
  <c r="K20" i="2" s="1"/>
  <c r="K10" i="2"/>
  <c r="K22" i="2" s="1"/>
  <c r="M20" i="2" s="1"/>
  <c r="K7" i="2"/>
  <c r="K15" i="2" s="1"/>
  <c r="K16" i="2" s="1"/>
  <c r="K18" i="1"/>
  <c r="K19" i="1" s="1"/>
  <c r="K14" i="1"/>
  <c r="K10" i="1"/>
  <c r="K28" i="1" s="1"/>
  <c r="K7" i="1"/>
  <c r="K21" i="1" s="1"/>
  <c r="K12" i="2" l="1"/>
  <c r="M10" i="2" s="1"/>
  <c r="M14" i="2"/>
  <c r="K17" i="2"/>
  <c r="M15" i="2" s="1"/>
  <c r="M18" i="2"/>
  <c r="K27" i="2"/>
  <c r="K12" i="1"/>
  <c r="K22" i="1"/>
  <c r="K15" i="1"/>
  <c r="K21" i="2" l="1"/>
  <c r="K26" i="2" s="1"/>
  <c r="M24" i="2" s="1"/>
  <c r="K25" i="2"/>
  <c r="M23" i="2" s="1"/>
  <c r="M19" i="2"/>
  <c r="K17" i="1"/>
  <c r="K25" i="1" s="1"/>
  <c r="K27" i="1" l="1"/>
  <c r="F42" i="2"/>
  <c r="D42" i="2"/>
  <c r="B42" i="2"/>
  <c r="F41" i="2"/>
  <c r="D41" i="2"/>
  <c r="B41" i="2"/>
  <c r="F40" i="2"/>
  <c r="D40" i="2"/>
  <c r="B40" i="2"/>
  <c r="F39" i="2"/>
  <c r="D39" i="2"/>
  <c r="B39" i="2"/>
  <c r="F38" i="2"/>
  <c r="D38" i="2"/>
  <c r="B38" i="2"/>
  <c r="F37" i="2"/>
  <c r="D37" i="2"/>
  <c r="B37" i="2"/>
  <c r="F36" i="2"/>
  <c r="D36" i="2"/>
  <c r="B36" i="2"/>
  <c r="F35" i="2"/>
  <c r="D35" i="2"/>
  <c r="B35" i="2"/>
  <c r="F34" i="2"/>
  <c r="D34" i="2"/>
  <c r="B34" i="2"/>
  <c r="F33" i="2"/>
  <c r="D33" i="2"/>
  <c r="B33" i="2"/>
  <c r="F32" i="2"/>
  <c r="D32" i="2"/>
  <c r="B32" i="2"/>
  <c r="F31" i="2"/>
  <c r="D31" i="2"/>
  <c r="B31" i="2"/>
  <c r="F30" i="2"/>
  <c r="D30" i="2"/>
  <c r="B30" i="2"/>
  <c r="F29" i="2"/>
  <c r="D29" i="2"/>
  <c r="B29" i="2"/>
  <c r="F28" i="2"/>
  <c r="D28" i="2"/>
  <c r="B28" i="2"/>
  <c r="F27" i="2"/>
  <c r="D27" i="2"/>
  <c r="B27" i="2"/>
  <c r="F26" i="2"/>
  <c r="D26" i="2"/>
  <c r="B26" i="2"/>
  <c r="F25" i="2"/>
  <c r="D25" i="2"/>
  <c r="B25" i="2"/>
  <c r="F24" i="2"/>
  <c r="D24" i="2"/>
  <c r="B24" i="2"/>
  <c r="F23" i="2"/>
  <c r="D23" i="2"/>
  <c r="B23" i="2"/>
  <c r="F22" i="2"/>
  <c r="D22" i="2"/>
  <c r="B22" i="2"/>
  <c r="F21" i="2"/>
  <c r="D21" i="2"/>
  <c r="B21" i="2"/>
  <c r="F20" i="2"/>
  <c r="D20" i="2"/>
  <c r="B20" i="2"/>
  <c r="F19" i="2"/>
  <c r="D19" i="2"/>
  <c r="B19" i="2"/>
  <c r="F18" i="2"/>
  <c r="D18" i="2"/>
  <c r="B18" i="2"/>
  <c r="F17" i="2"/>
  <c r="D17" i="2"/>
  <c r="B17" i="2"/>
  <c r="F16" i="2"/>
  <c r="D16" i="2"/>
  <c r="B16" i="2"/>
  <c r="F15" i="2"/>
  <c r="D15" i="2"/>
  <c r="B15" i="2"/>
  <c r="F14" i="2"/>
  <c r="D14" i="2"/>
  <c r="B14" i="2"/>
  <c r="F13" i="2"/>
  <c r="D13" i="2"/>
  <c r="B13" i="2"/>
  <c r="F12" i="2"/>
  <c r="D12" i="2"/>
  <c r="B12" i="2"/>
  <c r="F11" i="2"/>
  <c r="D11" i="2"/>
  <c r="B11" i="2"/>
  <c r="F10" i="2"/>
  <c r="D10" i="2"/>
  <c r="B10" i="2"/>
  <c r="F9" i="2"/>
  <c r="D9" i="2"/>
  <c r="B9" i="2"/>
  <c r="F8" i="2"/>
  <c r="D8" i="2"/>
  <c r="B8" i="2"/>
  <c r="F7" i="2"/>
  <c r="D7" i="2"/>
  <c r="B7" i="2"/>
  <c r="F6" i="2"/>
  <c r="D6" i="2"/>
  <c r="B6" i="2"/>
  <c r="F42" i="1"/>
  <c r="D42" i="1"/>
  <c r="B42" i="1"/>
  <c r="F41" i="1"/>
  <c r="D41" i="1"/>
  <c r="B41" i="1"/>
  <c r="F40" i="1"/>
  <c r="D40" i="1"/>
  <c r="B40" i="1"/>
  <c r="F39" i="1"/>
  <c r="D39" i="1"/>
  <c r="B39" i="1"/>
  <c r="F38" i="1"/>
  <c r="D38" i="1"/>
  <c r="B38" i="1"/>
  <c r="F37" i="1"/>
  <c r="D37" i="1"/>
  <c r="B37" i="1"/>
  <c r="F36" i="1"/>
  <c r="D36" i="1"/>
  <c r="B36" i="1"/>
  <c r="F35" i="1"/>
  <c r="D35" i="1"/>
  <c r="B35" i="1"/>
  <c r="F34" i="1"/>
  <c r="D34" i="1"/>
  <c r="B34" i="1"/>
  <c r="F33" i="1"/>
  <c r="D33" i="1"/>
  <c r="B33" i="1"/>
  <c r="F32" i="1"/>
  <c r="D32" i="1"/>
  <c r="B32" i="1"/>
  <c r="F31" i="1"/>
  <c r="D31" i="1"/>
  <c r="B31" i="1"/>
  <c r="F30" i="1"/>
  <c r="D30" i="1"/>
  <c r="B30" i="1"/>
  <c r="F29" i="1"/>
  <c r="D29" i="1"/>
  <c r="B29" i="1"/>
  <c r="F28" i="1"/>
  <c r="D28" i="1"/>
  <c r="B28" i="1"/>
  <c r="F27" i="1"/>
  <c r="D27" i="1"/>
  <c r="B27" i="1"/>
  <c r="F26" i="1"/>
  <c r="D26" i="1"/>
  <c r="B26" i="1"/>
  <c r="F25" i="1"/>
  <c r="D25" i="1"/>
  <c r="B25" i="1"/>
  <c r="F24" i="1"/>
  <c r="D24" i="1"/>
  <c r="B24" i="1"/>
  <c r="F23" i="1"/>
  <c r="D23" i="1"/>
  <c r="B23" i="1"/>
  <c r="F22" i="1"/>
  <c r="D22" i="1"/>
  <c r="B22" i="1"/>
  <c r="F21" i="1"/>
  <c r="D21" i="1"/>
  <c r="B21" i="1"/>
  <c r="F20" i="1"/>
  <c r="D20" i="1"/>
  <c r="B20" i="1"/>
  <c r="F19" i="1"/>
  <c r="D19" i="1"/>
  <c r="B19" i="1"/>
  <c r="F18" i="1"/>
  <c r="D18" i="1"/>
  <c r="B18" i="1"/>
  <c r="F17" i="1"/>
  <c r="D17" i="1"/>
  <c r="B17" i="1"/>
  <c r="F16" i="1"/>
  <c r="D16" i="1"/>
  <c r="B16" i="1"/>
  <c r="F15" i="1"/>
  <c r="D15" i="1"/>
  <c r="B15" i="1"/>
  <c r="F14" i="1"/>
  <c r="D14" i="1"/>
  <c r="B14" i="1"/>
  <c r="F13" i="1"/>
  <c r="D13" i="1"/>
  <c r="B13" i="1"/>
  <c r="F12" i="1"/>
  <c r="D12" i="1"/>
  <c r="B12" i="1"/>
  <c r="F11" i="1"/>
  <c r="D11" i="1"/>
  <c r="B11" i="1"/>
  <c r="F10" i="1"/>
  <c r="D10" i="1"/>
  <c r="B10" i="1"/>
  <c r="F9" i="1"/>
  <c r="D9" i="1"/>
  <c r="B9" i="1"/>
  <c r="F8" i="1"/>
  <c r="D8" i="1"/>
  <c r="B8" i="1"/>
  <c r="F7" i="1"/>
  <c r="D7" i="1"/>
  <c r="B7" i="1"/>
  <c r="F6" i="1"/>
  <c r="D6" i="1"/>
  <c r="B6" i="1"/>
  <c r="M15" i="1" l="1"/>
  <c r="M21" i="1"/>
  <c r="M22" i="1"/>
  <c r="M12" i="1"/>
  <c r="M17" i="1" l="1"/>
  <c r="M25" i="1"/>
  <c r="M27" i="1"/>
</calcChain>
</file>

<file path=xl/sharedStrings.xml><?xml version="1.0" encoding="utf-8"?>
<sst xmlns="http://schemas.openxmlformats.org/spreadsheetml/2006/main" count="87" uniqueCount="57">
  <si>
    <t>Pro Rata Hours Contractual Annual Leave Year 1</t>
  </si>
  <si>
    <t>*</t>
  </si>
  <si>
    <t>A</t>
  </si>
  <si>
    <t>B</t>
  </si>
  <si>
    <t>Fformiwla Gwyliau Blynyddol Salwch Hirdymor</t>
  </si>
  <si>
    <t>Oriau Contract Wythnosol Cyfartalog</t>
  </si>
  <si>
    <t>&lt; 5 mlynedd o wasanaeth Oriau Gwyliau Blynyddol</t>
  </si>
  <si>
    <t>Uchafswm Nifer yr oriau ar benwythnosau</t>
  </si>
  <si>
    <t>Lwfans Oriau Gwyl y Banc</t>
  </si>
  <si>
    <t>&gt;10 mlynedd o wasanaeth Oriau Gwyliau Blynyddol</t>
  </si>
  <si>
    <t>&gt;5 a &lt;10 mlynedd o wasanaeth Oriau Gwyliau Blynyddol</t>
  </si>
  <si>
    <t>Penblwyddi ar ôl 01.04.23 Lwfans Gwyliau Blynyddol Awr</t>
  </si>
  <si>
    <t>* Uchafswm o 28 diwrnod o wyliau statudol Yn seiliedig ar 20 diwrnod o wyliau blynyddol ynghyd ag 8 gŵyl banc wedi’u cynnwys (pro rata)</t>
  </si>
  <si>
    <t>!! Ni fydd y ffigurau hyn yn cyfrif am unrhyw wyliau blynyddol a gariwyd ymlaen o’r flwyddyn wyliau flaenorol neu Wyliau Banc a gymerwyd/talu ym mlwyddyn 1 a bydd angen eu hychwanegu â llaw ar y diwedd.</t>
  </si>
  <si>
    <t>Mae’r nodiadau canllaw ar sut i addasu a hawl gweithwyr yn gadael yn MyView yma: &lt;http://intranet/our-people/hr/resourcelink-myview/&gt;</t>
  </si>
  <si>
    <t>* Cwblhewch y blychau melyn yn unig</t>
  </si>
  <si>
    <t>&gt; Bydd hawl i wyliau yn cael ei ddangos mewn blwch pinc ar ôl cwblhau'r meysydd melyn</t>
  </si>
  <si>
    <t>Nodwch y dyddiad pen-blwydd cyn i'r salwch ddechrau (dd/mm/bbbb)</t>
  </si>
  <si>
    <t>Nodwch ddiwrnod cyntaf y salwch (dd/mm/bbbb)</t>
  </si>
  <si>
    <t>Nifer y dyddiau yn y cyfnod Calendr o'r pen-blwydd i'r diwrnod cyntaf o salwch + 28 diwrnod</t>
  </si>
  <si>
    <t>Nodwch oriau cytundebol wythnosol cyfartalog</t>
  </si>
  <si>
    <t>Nodwch nifer cyfartalog y diwrnodau yr wythnos a gontractiwyd i weithio</t>
  </si>
  <si>
    <t>Oriau cytundebol dyddiol ar gyfartaledd</t>
  </si>
  <si>
    <t>Nodwch hawl oriau gwyliau ar gyfer maint y contract (o siart gwyliau blynyddol statws sengl)</t>
  </si>
  <si>
    <t>Nodwch y dyddiad dychwelyd i'r gwaith (dd/mm/bbbb) neu ddyddiad terfynu</t>
  </si>
  <si>
    <t>Nifer y diwrnodau yng nghyfnod calendr blwyddyn 2 ar gyfer Gwyliau Blynyddol Statudol</t>
  </si>
  <si>
    <t>Oriau Pro Rata Gwyliau Blynyddol Statudol dyledus Blwyddyn 1</t>
  </si>
  <si>
    <t>Nodwch nifer y diwrnodau gwyliau blynyddol a gymerwyd yn ystod Blwyddyn Gwyliau 1</t>
  </si>
  <si>
    <t>Cario gwyliau drosodd o Flwyddyn 1 (uchafswm o 28 diwrnod pro rata neu negyddol os cymerir gormod)</t>
  </si>
  <si>
    <t>Dyddiad penblwydd nesaf</t>
  </si>
  <si>
    <t>Nifer y dyddiau yn y cyfnod Calendr o RTW i ddiwrnod cyn pen-blwydd</t>
  </si>
  <si>
    <t>Nodwch nifer y gwyliau banc yn ystod cyfnod o salwch hirdymor ym mlwyddyn 2</t>
  </si>
  <si>
    <t>Oriau Cytundebol Pro Rata Gwyliau blynyddol hyd at ddiwrnod cyn pen-blwydd ar ddiwedd Blwyddyn 2</t>
  </si>
  <si>
    <t>Oriau Gwyliau Statudol a Cronnwyd Blwyddyn 2</t>
  </si>
  <si>
    <t>Lle mae swm gwyliau negyddol dylid tynnu'r oriau/diwrnodau hyn o'r taliad cyflog terfynol</t>
  </si>
  <si>
    <t>Nodwch nifer y diwrnodau gwyliau blynyddol a gymerwyd yn ystod Blwyddyn Gwyliau 2</t>
  </si>
  <si>
    <t>Cyfanswm yr Oriau Gwyliau Blynyddol sy'n weddill hyd at y dyddiad terfynu gan yr Awdurdod</t>
  </si>
  <si>
    <t>Cyfanswm yr oriau gwyliau sy’n weddill hyd at y pen-blwydd ar ddiwedd Blwyddyn 2 (Blwyddyn 1 + Blwyddyn 2)</t>
  </si>
  <si>
    <t>Didynnwch yr oriau hyn o Lwfans Gŵyl y Banc ar ôl dychwelyd i'r gwaith</t>
  </si>
  <si>
    <t>Nodwch y dyddiad pen-blwydd diwethaf (dd/mm/bbbb)</t>
  </si>
  <si>
    <t>Oriau Pro Rata Gwyliau Blynyddol Cytundebol yn ddyledus</t>
  </si>
  <si>
    <t>Nodwch y dyddiad dychwelyd i'r gwaith (dd/mm/bbbb) neu ddyddiad terfynu gan yr Awdurdod os yn gynt</t>
  </si>
  <si>
    <t>Nodwch nifer y gwyliau banc yn ystod cyfnod o salwch hirdymor</t>
  </si>
  <si>
    <t>Nifer y diwrnodau yn y cyfnod Calendr ar gyfer Gwyliau Blynyddol Statudol</t>
  </si>
  <si>
    <t>Oriau Pro Rata Gwyliau Blynyddol Statudol yn ddyledus</t>
  </si>
  <si>
    <t>Cyfanswm y lwfans Gwyliau Blynyddol ar gyfer oriau cytundebol cyfunol os caiff ei derfynu</t>
  </si>
  <si>
    <t>Oriau Pro Rata Gwyliau blynyddol i fyny diwrnod cyn pen-blwydd</t>
  </si>
  <si>
    <t>Cyfanswm y lwfans Gwyliau Blynyddol ar gyfer oriau cytundebol cyfun os yn dychwelyd i'r gwaith</t>
  </si>
  <si>
    <t>Gwyliau Statudol yn Unig Diwrnodau a Gronnwyd hyd at y dyddiad terfynu (ar gyfer gwyliau na chymerwyd)</t>
  </si>
  <si>
    <t>Lle mae swm gwyliau negyddol dylid tynnu'r dyddiau hyn o'r taliad cyflog terfynol</t>
  </si>
  <si>
    <t>Nodwch nifer y diwrnod gwyliau a gymerwyd ers pen-blwydd cyn LTS</t>
  </si>
  <si>
    <t>Oriau Gwyliau Blynyddol yn weddill hyd at ddyddiad terfynu gan yr Awdurdod</t>
  </si>
  <si>
    <t>Balans yr oriau gwyliau blynyddol sy'n weddill hyd at y pen-blwydd</t>
  </si>
  <si>
    <t>Dyddiau</t>
  </si>
  <si>
    <t>n/a</t>
  </si>
  <si>
    <t>Nifer y munudau</t>
  </si>
  <si>
    <t>Swm degol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</si>
</sst>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u/>
      <sz val="10"/>
      <color indexed="8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A44A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0">
    <xf numFmtId="0" fontId="0" fillId="0" borderId="0" xfId="0"/>
    <xf numFmtId="0" fontId="0" fillId="0" borderId="0" xfId="0" applyProtection="1"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3" fillId="5" borderId="9" xfId="0" applyFont="1" applyFill="1" applyBorder="1" applyAlignment="1" applyProtection="1">
      <alignment horizontal="left"/>
      <protection locked="0"/>
    </xf>
    <xf numFmtId="164" fontId="0" fillId="6" borderId="10" xfId="0" applyNumberFormat="1" applyFill="1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2" fontId="0" fillId="0" borderId="12" xfId="0" applyNumberFormat="1" applyBorder="1" applyAlignment="1" applyProtection="1">
      <alignment horizontal="center"/>
      <protection locked="0"/>
    </xf>
    <xf numFmtId="2" fontId="0" fillId="7" borderId="13" xfId="0" applyNumberFormat="1" applyFill="1" applyBorder="1" applyAlignment="1">
      <alignment horizontal="center"/>
    </xf>
    <xf numFmtId="2" fontId="0" fillId="7" borderId="13" xfId="0" applyNumberFormat="1" applyFill="1" applyBorder="1" applyAlignment="1" applyProtection="1">
      <alignment horizontal="center"/>
      <protection locked="0"/>
    </xf>
    <xf numFmtId="2" fontId="0" fillId="8" borderId="13" xfId="0" applyNumberFormat="1" applyFill="1" applyBorder="1" applyAlignment="1">
      <alignment horizontal="center"/>
    </xf>
    <xf numFmtId="2" fontId="0" fillId="8" borderId="13" xfId="0" applyNumberFormat="1" applyFill="1" applyBorder="1" applyAlignment="1" applyProtection="1">
      <alignment horizontal="center"/>
      <protection locked="0"/>
    </xf>
    <xf numFmtId="2" fontId="0" fillId="9" borderId="13" xfId="0" applyNumberFormat="1" applyFill="1" applyBorder="1" applyAlignment="1">
      <alignment horizontal="center"/>
    </xf>
    <xf numFmtId="2" fontId="0" fillId="9" borderId="13" xfId="0" applyNumberFormat="1" applyFill="1" applyBorder="1" applyAlignment="1" applyProtection="1">
      <alignment horizontal="center"/>
      <protection locked="0"/>
    </xf>
    <xf numFmtId="2" fontId="0" fillId="0" borderId="13" xfId="0" applyNumberFormat="1" applyBorder="1" applyAlignment="1" applyProtection="1">
      <alignment horizontal="center"/>
      <protection locked="0"/>
    </xf>
    <xf numFmtId="2" fontId="0" fillId="0" borderId="9" xfId="0" applyNumberFormat="1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0" fillId="10" borderId="10" xfId="0" applyFill="1" applyBorder="1"/>
    <xf numFmtId="0" fontId="3" fillId="5" borderId="9" xfId="0" applyFont="1" applyFill="1" applyBorder="1" applyProtection="1">
      <protection locked="0"/>
    </xf>
    <xf numFmtId="0" fontId="0" fillId="6" borderId="10" xfId="0" applyFill="1" applyBorder="1" applyProtection="1">
      <protection locked="0"/>
    </xf>
    <xf numFmtId="2" fontId="0" fillId="10" borderId="10" xfId="0" applyNumberFormat="1" applyFill="1" applyBorder="1"/>
    <xf numFmtId="0" fontId="3" fillId="10" borderId="9" xfId="0" applyFont="1" applyFill="1" applyBorder="1" applyProtection="1">
      <protection locked="0"/>
    </xf>
    <xf numFmtId="2" fontId="3" fillId="10" borderId="10" xfId="0" applyNumberFormat="1" applyFont="1" applyFill="1" applyBorder="1"/>
    <xf numFmtId="2" fontId="0" fillId="0" borderId="11" xfId="0" applyNumberFormat="1" applyBorder="1" applyAlignment="1">
      <alignment horizontal="center"/>
    </xf>
    <xf numFmtId="0" fontId="0" fillId="0" borderId="0" xfId="0" applyAlignment="1" applyProtection="1">
      <alignment horizontal="right"/>
      <protection locked="0"/>
    </xf>
    <xf numFmtId="2" fontId="0" fillId="0" borderId="0" xfId="0" applyNumberFormat="1" applyProtection="1">
      <protection locked="0"/>
    </xf>
    <xf numFmtId="0" fontId="3" fillId="5" borderId="14" xfId="0" applyFont="1" applyFill="1" applyBorder="1" applyProtection="1">
      <protection locked="0"/>
    </xf>
    <xf numFmtId="0" fontId="0" fillId="6" borderId="15" xfId="0" applyFill="1" applyBorder="1" applyProtection="1">
      <protection locked="0"/>
    </xf>
    <xf numFmtId="2" fontId="0" fillId="0" borderId="11" xfId="0" applyNumberFormat="1" applyBorder="1" applyAlignment="1" applyProtection="1">
      <alignment horizontal="center"/>
      <protection locked="0"/>
    </xf>
    <xf numFmtId="2" fontId="0" fillId="11" borderId="11" xfId="0" applyNumberFormat="1" applyFill="1" applyBorder="1" applyAlignment="1">
      <alignment horizontal="center"/>
    </xf>
    <xf numFmtId="164" fontId="0" fillId="10" borderId="10" xfId="0" applyNumberFormat="1" applyFill="1" applyBorder="1"/>
    <xf numFmtId="0" fontId="3" fillId="10" borderId="16" xfId="0" applyFont="1" applyFill="1" applyBorder="1" applyProtection="1">
      <protection locked="0"/>
    </xf>
    <xf numFmtId="2" fontId="3" fillId="10" borderId="17" xfId="0" applyNumberFormat="1" applyFont="1" applyFill="1" applyBorder="1"/>
    <xf numFmtId="0" fontId="3" fillId="12" borderId="0" xfId="0" applyFont="1" applyFill="1" applyProtection="1">
      <protection locked="0"/>
    </xf>
    <xf numFmtId="0" fontId="0" fillId="12" borderId="0" xfId="0" applyFill="1" applyProtection="1">
      <protection locked="0"/>
    </xf>
    <xf numFmtId="0" fontId="3" fillId="13" borderId="16" xfId="0" applyFont="1" applyFill="1" applyBorder="1" applyProtection="1">
      <protection locked="0"/>
    </xf>
    <xf numFmtId="2" fontId="3" fillId="13" borderId="17" xfId="0" applyNumberFormat="1" applyFont="1" applyFill="1" applyBorder="1"/>
    <xf numFmtId="2" fontId="0" fillId="13" borderId="11" xfId="0" applyNumberFormat="1" applyFill="1" applyBorder="1" applyAlignment="1">
      <alignment horizontal="center"/>
    </xf>
    <xf numFmtId="0" fontId="3" fillId="0" borderId="16" xfId="0" applyFont="1" applyBorder="1" applyProtection="1">
      <protection locked="0"/>
    </xf>
    <xf numFmtId="2" fontId="3" fillId="0" borderId="17" xfId="0" applyNumberFormat="1" applyFont="1" applyBorder="1" applyProtection="1">
      <protection locked="0"/>
    </xf>
    <xf numFmtId="2" fontId="0" fillId="13" borderId="18" xfId="0" applyNumberFormat="1" applyFill="1" applyBorder="1" applyAlignment="1">
      <alignment horizontal="center"/>
    </xf>
    <xf numFmtId="0" fontId="3" fillId="14" borderId="16" xfId="0" applyFont="1" applyFill="1" applyBorder="1" applyProtection="1">
      <protection locked="0"/>
    </xf>
    <xf numFmtId="2" fontId="3" fillId="14" borderId="17" xfId="0" applyNumberFormat="1" applyFont="1" applyFill="1" applyBorder="1"/>
    <xf numFmtId="0" fontId="0" fillId="0" borderId="0" xfId="0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0" fontId="0" fillId="6" borderId="0" xfId="0" applyFill="1" applyProtection="1">
      <protection locked="0"/>
    </xf>
    <xf numFmtId="0" fontId="0" fillId="13" borderId="0" xfId="0" applyFill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2" fontId="0" fillId="0" borderId="19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left" wrapText="1"/>
      <protection locked="0"/>
    </xf>
    <xf numFmtId="0" fontId="2" fillId="0" borderId="0" xfId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4" borderId="6" xfId="0" applyFill="1" applyBorder="1" applyAlignment="1">
      <alignment horizontal="center"/>
    </xf>
    <xf numFmtId="0" fontId="3" fillId="5" borderId="9" xfId="0" applyFont="1" applyFill="1" applyBorder="1" applyAlignment="1">
      <alignment horizontal="left"/>
    </xf>
    <xf numFmtId="0" fontId="0" fillId="0" borderId="11" xfId="0" applyBorder="1" applyAlignment="1">
      <alignment horizontal="center"/>
    </xf>
    <xf numFmtId="0" fontId="1" fillId="9" borderId="9" xfId="0" applyFont="1" applyFill="1" applyBorder="1" applyAlignment="1">
      <alignment horizontal="left"/>
    </xf>
    <xf numFmtId="0" fontId="0" fillId="0" borderId="9" xfId="0" applyBorder="1"/>
    <xf numFmtId="0" fontId="0" fillId="15" borderId="10" xfId="0" applyFill="1" applyBorder="1"/>
    <xf numFmtId="0" fontId="1" fillId="9" borderId="9" xfId="0" applyFont="1" applyFill="1" applyBorder="1"/>
    <xf numFmtId="2" fontId="0" fillId="15" borderId="10" xfId="0" applyNumberFormat="1" applyFill="1" applyBorder="1"/>
    <xf numFmtId="0" fontId="1" fillId="0" borderId="9" xfId="0" applyFont="1" applyBorder="1"/>
    <xf numFmtId="2" fontId="0" fillId="16" borderId="10" xfId="0" applyNumberFormat="1" applyFill="1" applyBorder="1"/>
    <xf numFmtId="0" fontId="1" fillId="17" borderId="22" xfId="0" applyFont="1" applyFill="1" applyBorder="1"/>
    <xf numFmtId="2" fontId="0" fillId="16" borderId="17" xfId="0" applyNumberFormat="1" applyFill="1" applyBorder="1"/>
    <xf numFmtId="164" fontId="0" fillId="15" borderId="10" xfId="0" applyNumberFormat="1" applyFill="1" applyBorder="1"/>
    <xf numFmtId="0" fontId="1" fillId="18" borderId="16" xfId="0" applyFont="1" applyFill="1" applyBorder="1"/>
    <xf numFmtId="2" fontId="0" fillId="15" borderId="17" xfId="0" applyNumberFormat="1" applyFill="1" applyBorder="1"/>
    <xf numFmtId="0" fontId="1" fillId="19" borderId="0" xfId="0" applyFont="1" applyFill="1"/>
    <xf numFmtId="0" fontId="1" fillId="9" borderId="14" xfId="0" applyFont="1" applyFill="1" applyBorder="1"/>
    <xf numFmtId="0" fontId="1" fillId="17" borderId="16" xfId="0" applyFont="1" applyFill="1" applyBorder="1"/>
    <xf numFmtId="2" fontId="3" fillId="16" borderId="17" xfId="0" applyNumberFormat="1" applyFont="1" applyFill="1" applyBorder="1"/>
    <xf numFmtId="2" fontId="0" fillId="0" borderId="18" xfId="0" applyNumberFormat="1" applyBorder="1" applyAlignment="1">
      <alignment horizontal="center"/>
    </xf>
    <xf numFmtId="0" fontId="1" fillId="19" borderId="16" xfId="0" applyFont="1" applyFill="1" applyBorder="1"/>
    <xf numFmtId="2" fontId="3" fillId="12" borderId="17" xfId="0" applyNumberFormat="1" applyFont="1" applyFill="1" applyBorder="1"/>
    <xf numFmtId="0" fontId="0" fillId="0" borderId="0" xfId="0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2" fontId="0" fillId="0" borderId="26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ntranet/our-people/hr/resourcelink-myview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intranet/our-people/hr/resourcelink-myview/" TargetMode="External"/><Relationship Id="rId1" Type="http://schemas.openxmlformats.org/officeDocument/2006/relationships/hyperlink" Target="http://intranet/our-people/hr/resourcelink-myview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A794B-4D2A-476C-B856-6957EC90B293}">
  <dimension ref="A1:N42"/>
  <sheetViews>
    <sheetView topLeftCell="D15" workbookViewId="0">
      <selection activeCell="J34" sqref="J34"/>
    </sheetView>
  </sheetViews>
  <sheetFormatPr defaultRowHeight="15" x14ac:dyDescent="0.25"/>
  <cols>
    <col min="1" max="1" width="11" customWidth="1"/>
    <col min="2" max="2" width="10.5703125" customWidth="1"/>
    <col min="3" max="3" width="14.140625" customWidth="1"/>
    <col min="4" max="4" width="10.28515625" customWidth="1"/>
    <col min="5" max="5" width="14.42578125" customWidth="1"/>
    <col min="6" max="6" width="10.85546875" customWidth="1"/>
    <col min="7" max="7" width="14.140625" customWidth="1"/>
    <col min="8" max="8" width="10" customWidth="1"/>
    <col min="9" max="9" width="4.85546875" customWidth="1"/>
    <col min="10" max="10" width="95.7109375" customWidth="1"/>
    <col min="11" max="11" width="13.140625" customWidth="1"/>
    <col min="12" max="12" width="2.28515625" bestFit="1" customWidth="1"/>
    <col min="13" max="13" width="10.7109375" bestFit="1" customWidth="1"/>
  </cols>
  <sheetData>
    <row r="1" spans="1:14" x14ac:dyDescent="0.25">
      <c r="J1" s="44" t="s">
        <v>15</v>
      </c>
      <c r="N1" s="1"/>
    </row>
    <row r="2" spans="1:14" ht="18.75" customHeight="1" x14ac:dyDescent="0.25">
      <c r="J2" s="45" t="s">
        <v>16</v>
      </c>
      <c r="N2" s="1"/>
    </row>
    <row r="3" spans="1:14" ht="18.75" customHeight="1" thickBot="1" x14ac:dyDescent="0.3">
      <c r="J3" s="1"/>
      <c r="N3" s="1"/>
    </row>
    <row r="4" spans="1:14" x14ac:dyDescent="0.25">
      <c r="A4" s="85" t="s">
        <v>11</v>
      </c>
      <c r="B4" s="86"/>
      <c r="C4" s="86"/>
      <c r="D4" s="86"/>
      <c r="E4" s="86"/>
      <c r="F4" s="86"/>
      <c r="G4" s="86"/>
      <c r="H4" s="87"/>
      <c r="J4" s="77" t="s">
        <v>4</v>
      </c>
      <c r="K4" s="78"/>
      <c r="M4" s="54" t="s">
        <v>53</v>
      </c>
      <c r="N4" s="1"/>
    </row>
    <row r="5" spans="1:14" ht="105" x14ac:dyDescent="0.25">
      <c r="A5" s="52" t="s">
        <v>5</v>
      </c>
      <c r="B5" s="52" t="s">
        <v>6</v>
      </c>
      <c r="C5" s="52" t="s">
        <v>7</v>
      </c>
      <c r="D5" s="52" t="s">
        <v>10</v>
      </c>
      <c r="E5" s="52" t="s">
        <v>7</v>
      </c>
      <c r="F5" s="53" t="s">
        <v>9</v>
      </c>
      <c r="G5" s="52" t="s">
        <v>7</v>
      </c>
      <c r="H5" s="52" t="s">
        <v>8</v>
      </c>
      <c r="J5" s="55" t="s">
        <v>39</v>
      </c>
      <c r="K5" s="4">
        <v>44999</v>
      </c>
      <c r="M5" s="56"/>
      <c r="N5" s="1"/>
    </row>
    <row r="6" spans="1:14" x14ac:dyDescent="0.25">
      <c r="A6" s="6">
        <v>1</v>
      </c>
      <c r="B6" s="7">
        <f t="shared" ref="B6:B41" si="0">SUM((A6*27)/5)</f>
        <v>5.4</v>
      </c>
      <c r="C6" s="8">
        <v>2</v>
      </c>
      <c r="D6" s="9">
        <f t="shared" ref="D6:D41" si="1">SUM((A6*32)/5)</f>
        <v>6.4</v>
      </c>
      <c r="E6" s="10">
        <v>2.4</v>
      </c>
      <c r="F6" s="11">
        <f t="shared" ref="F6:F42" si="2">SUM((A6*35)/5)</f>
        <v>7</v>
      </c>
      <c r="G6" s="12">
        <v>2.6</v>
      </c>
      <c r="H6" s="13">
        <v>1.6</v>
      </c>
      <c r="J6" s="57" t="s">
        <v>18</v>
      </c>
      <c r="K6" s="4">
        <v>45036</v>
      </c>
      <c r="M6" s="56"/>
      <c r="N6" s="1"/>
    </row>
    <row r="7" spans="1:14" x14ac:dyDescent="0.25">
      <c r="A7" s="14">
        <v>2</v>
      </c>
      <c r="B7" s="7">
        <f t="shared" si="0"/>
        <v>10.8</v>
      </c>
      <c r="C7" s="8">
        <v>4</v>
      </c>
      <c r="D7" s="9">
        <f t="shared" si="1"/>
        <v>12.8</v>
      </c>
      <c r="E7" s="10">
        <v>4.8</v>
      </c>
      <c r="F7" s="11">
        <f t="shared" si="2"/>
        <v>14</v>
      </c>
      <c r="G7" s="12">
        <v>5.2</v>
      </c>
      <c r="H7" s="13">
        <v>3.2</v>
      </c>
      <c r="J7" s="58" t="s">
        <v>19</v>
      </c>
      <c r="K7" s="59">
        <f>SUM((K6-K5)+28)</f>
        <v>65</v>
      </c>
      <c r="M7" s="56"/>
      <c r="N7" s="1"/>
    </row>
    <row r="8" spans="1:14" x14ac:dyDescent="0.25">
      <c r="A8" s="14">
        <v>3</v>
      </c>
      <c r="B8" s="7">
        <f t="shared" si="0"/>
        <v>16.2</v>
      </c>
      <c r="C8" s="8">
        <v>6</v>
      </c>
      <c r="D8" s="9">
        <f t="shared" si="1"/>
        <v>19.2</v>
      </c>
      <c r="E8" s="10">
        <v>7.2</v>
      </c>
      <c r="F8" s="11">
        <f t="shared" si="2"/>
        <v>21</v>
      </c>
      <c r="G8" s="12">
        <v>7.8</v>
      </c>
      <c r="H8" s="13">
        <v>4.8</v>
      </c>
      <c r="J8" s="60" t="s">
        <v>20</v>
      </c>
      <c r="K8" s="18">
        <v>37</v>
      </c>
      <c r="M8" s="56"/>
      <c r="N8" s="1"/>
    </row>
    <row r="9" spans="1:14" x14ac:dyDescent="0.25">
      <c r="A9" s="14">
        <v>4</v>
      </c>
      <c r="B9" s="7">
        <f t="shared" si="0"/>
        <v>21.6</v>
      </c>
      <c r="C9" s="8">
        <v>8</v>
      </c>
      <c r="D9" s="9">
        <f t="shared" si="1"/>
        <v>25.6</v>
      </c>
      <c r="E9" s="10">
        <v>9.6</v>
      </c>
      <c r="F9" s="11">
        <f t="shared" si="2"/>
        <v>28</v>
      </c>
      <c r="G9" s="12">
        <v>10.4</v>
      </c>
      <c r="H9" s="13">
        <v>6.4</v>
      </c>
      <c r="J9" s="60" t="s">
        <v>21</v>
      </c>
      <c r="K9" s="18">
        <v>5</v>
      </c>
      <c r="M9" s="56"/>
      <c r="N9" s="1"/>
    </row>
    <row r="10" spans="1:14" x14ac:dyDescent="0.25">
      <c r="A10" s="14">
        <v>5</v>
      </c>
      <c r="B10" s="7">
        <f t="shared" si="0"/>
        <v>27</v>
      </c>
      <c r="C10" s="8">
        <v>10</v>
      </c>
      <c r="D10" s="9">
        <f t="shared" si="1"/>
        <v>32</v>
      </c>
      <c r="E10" s="10">
        <v>12</v>
      </c>
      <c r="F10" s="11">
        <f t="shared" si="2"/>
        <v>35</v>
      </c>
      <c r="G10" s="12">
        <v>13</v>
      </c>
      <c r="H10" s="13">
        <v>8</v>
      </c>
      <c r="J10" s="58" t="s">
        <v>22</v>
      </c>
      <c r="K10" s="61">
        <f>SUM(K8/K9)</f>
        <v>7.4</v>
      </c>
      <c r="M10" s="22">
        <f>SUM(K12/K10)</f>
        <v>6.2328767123287667</v>
      </c>
      <c r="N10" s="1"/>
    </row>
    <row r="11" spans="1:14" x14ac:dyDescent="0.25">
      <c r="A11" s="14">
        <v>6</v>
      </c>
      <c r="B11" s="7">
        <f t="shared" si="0"/>
        <v>32.4</v>
      </c>
      <c r="C11" s="8">
        <v>12</v>
      </c>
      <c r="D11" s="9">
        <f t="shared" si="1"/>
        <v>38.4</v>
      </c>
      <c r="E11" s="10">
        <v>14.4</v>
      </c>
      <c r="F11" s="11">
        <f t="shared" si="2"/>
        <v>42</v>
      </c>
      <c r="G11" s="12">
        <v>15.6</v>
      </c>
      <c r="H11" s="13">
        <v>9.6</v>
      </c>
      <c r="J11" s="60" t="s">
        <v>23</v>
      </c>
      <c r="K11" s="18">
        <v>259</v>
      </c>
      <c r="M11" s="56"/>
      <c r="N11" s="1"/>
    </row>
    <row r="12" spans="1:14" x14ac:dyDescent="0.25">
      <c r="A12" s="14">
        <v>7</v>
      </c>
      <c r="B12" s="7">
        <f t="shared" si="0"/>
        <v>37.799999999999997</v>
      </c>
      <c r="C12" s="8">
        <v>14</v>
      </c>
      <c r="D12" s="9">
        <f t="shared" si="1"/>
        <v>44.8</v>
      </c>
      <c r="E12" s="10">
        <v>16.8</v>
      </c>
      <c r="F12" s="11">
        <f t="shared" si="2"/>
        <v>49</v>
      </c>
      <c r="G12" s="12">
        <v>18.2</v>
      </c>
      <c r="H12" s="13">
        <v>11.2</v>
      </c>
      <c r="J12" s="62" t="s">
        <v>40</v>
      </c>
      <c r="K12" s="63">
        <f>SUM((K7*K11)/365)</f>
        <v>46.123287671232873</v>
      </c>
      <c r="M12" s="56"/>
      <c r="N12" s="1"/>
    </row>
    <row r="13" spans="1:14" ht="15.75" thickBot="1" x14ac:dyDescent="0.3">
      <c r="A13" s="14">
        <v>8</v>
      </c>
      <c r="B13" s="7">
        <f t="shared" si="0"/>
        <v>43.2</v>
      </c>
      <c r="C13" s="8">
        <v>16</v>
      </c>
      <c r="D13" s="9">
        <f t="shared" si="1"/>
        <v>51.2</v>
      </c>
      <c r="E13" s="10">
        <v>19.2</v>
      </c>
      <c r="F13" s="11">
        <f t="shared" si="2"/>
        <v>56</v>
      </c>
      <c r="G13" s="12">
        <v>20.8</v>
      </c>
      <c r="H13" s="13">
        <v>12.8</v>
      </c>
      <c r="J13" s="57" t="s">
        <v>41</v>
      </c>
      <c r="K13" s="4">
        <v>45211</v>
      </c>
      <c r="M13" s="56"/>
      <c r="N13" s="24"/>
    </row>
    <row r="14" spans="1:14" x14ac:dyDescent="0.25">
      <c r="A14" s="14">
        <v>9</v>
      </c>
      <c r="B14" s="7">
        <f t="shared" si="0"/>
        <v>48.6</v>
      </c>
      <c r="C14" s="8">
        <v>18</v>
      </c>
      <c r="D14" s="9">
        <f t="shared" si="1"/>
        <v>57.6</v>
      </c>
      <c r="E14" s="10">
        <v>21.6</v>
      </c>
      <c r="F14" s="11">
        <f t="shared" si="2"/>
        <v>63</v>
      </c>
      <c r="G14" s="12">
        <v>23.4</v>
      </c>
      <c r="H14" s="13">
        <v>14.4</v>
      </c>
      <c r="J14" s="57" t="s">
        <v>42</v>
      </c>
      <c r="K14" s="26">
        <v>4</v>
      </c>
      <c r="M14" s="22">
        <f>SUM(K16/K10)</f>
        <v>11.276712328767124</v>
      </c>
      <c r="N14" s="1"/>
    </row>
    <row r="15" spans="1:14" x14ac:dyDescent="0.25">
      <c r="A15" s="14">
        <v>10</v>
      </c>
      <c r="B15" s="7">
        <f t="shared" si="0"/>
        <v>54</v>
      </c>
      <c r="C15" s="8">
        <v>20</v>
      </c>
      <c r="D15" s="9">
        <f t="shared" si="1"/>
        <v>64</v>
      </c>
      <c r="E15" s="10">
        <v>24</v>
      </c>
      <c r="F15" s="11">
        <f t="shared" si="2"/>
        <v>70</v>
      </c>
      <c r="G15" s="12">
        <v>26</v>
      </c>
      <c r="H15" s="13">
        <v>16</v>
      </c>
      <c r="J15" s="58" t="s">
        <v>43</v>
      </c>
      <c r="K15" s="59">
        <f>SUM(((K13-K5)-K7))</f>
        <v>147</v>
      </c>
      <c r="M15" s="22">
        <f>SUM(K17/K10)</f>
        <v>17.509589041095893</v>
      </c>
      <c r="N15" s="1" t="s">
        <v>1</v>
      </c>
    </row>
    <row r="16" spans="1:14" x14ac:dyDescent="0.25">
      <c r="A16" s="14">
        <v>11</v>
      </c>
      <c r="B16" s="7">
        <f t="shared" si="0"/>
        <v>59.4</v>
      </c>
      <c r="C16" s="8">
        <v>22</v>
      </c>
      <c r="D16" s="9">
        <f t="shared" si="1"/>
        <v>70.400000000000006</v>
      </c>
      <c r="E16" s="10">
        <v>26.4</v>
      </c>
      <c r="F16" s="11">
        <f t="shared" si="2"/>
        <v>77</v>
      </c>
      <c r="G16" s="12">
        <v>28.6</v>
      </c>
      <c r="H16" s="13">
        <v>17.600000000000001</v>
      </c>
      <c r="J16" s="62" t="s">
        <v>44</v>
      </c>
      <c r="K16" s="63">
        <f>SUM((((28/5)*K9*K15)/365)*K10)</f>
        <v>83.447671232876715</v>
      </c>
      <c r="M16" s="56"/>
      <c r="N16" s="1"/>
    </row>
    <row r="17" spans="1:14" ht="15.75" thickBot="1" x14ac:dyDescent="0.3">
      <c r="A17" s="14">
        <v>12</v>
      </c>
      <c r="B17" s="7">
        <f t="shared" si="0"/>
        <v>64.8</v>
      </c>
      <c r="C17" s="8">
        <v>24</v>
      </c>
      <c r="D17" s="9">
        <f t="shared" si="1"/>
        <v>76.8</v>
      </c>
      <c r="E17" s="10">
        <v>28.8</v>
      </c>
      <c r="F17" s="11">
        <f t="shared" si="2"/>
        <v>84</v>
      </c>
      <c r="G17" s="12">
        <v>31.2</v>
      </c>
      <c r="H17" s="13">
        <v>19.2</v>
      </c>
      <c r="J17" s="64" t="s">
        <v>45</v>
      </c>
      <c r="K17" s="65">
        <f>SUM(K12+K16)</f>
        <v>129.5709589041096</v>
      </c>
      <c r="M17" s="22"/>
      <c r="N17" s="1"/>
    </row>
    <row r="18" spans="1:14" x14ac:dyDescent="0.25">
      <c r="A18" s="14">
        <v>13</v>
      </c>
      <c r="B18" s="7">
        <f t="shared" si="0"/>
        <v>70.2</v>
      </c>
      <c r="C18" s="8">
        <v>26</v>
      </c>
      <c r="D18" s="9">
        <f t="shared" si="1"/>
        <v>83.2</v>
      </c>
      <c r="E18" s="10">
        <v>31.2</v>
      </c>
      <c r="F18" s="11">
        <f t="shared" si="2"/>
        <v>91</v>
      </c>
      <c r="G18" s="12">
        <v>33.799999999999997</v>
      </c>
      <c r="H18" s="13">
        <v>20.8</v>
      </c>
      <c r="J18" s="58" t="s">
        <v>29</v>
      </c>
      <c r="K18" s="66">
        <f>SUM(K5+365)</f>
        <v>45364</v>
      </c>
      <c r="M18" s="22">
        <f>SUM(K20/K10)</f>
        <v>14.671232876712329</v>
      </c>
      <c r="N18" s="1"/>
    </row>
    <row r="19" spans="1:14" x14ac:dyDescent="0.25">
      <c r="A19" s="14">
        <v>14</v>
      </c>
      <c r="B19" s="7">
        <f t="shared" si="0"/>
        <v>75.599999999999994</v>
      </c>
      <c r="C19" s="8">
        <v>28</v>
      </c>
      <c r="D19" s="9">
        <f t="shared" si="1"/>
        <v>89.6</v>
      </c>
      <c r="E19" s="10">
        <v>33.6</v>
      </c>
      <c r="F19" s="11">
        <f t="shared" si="2"/>
        <v>98</v>
      </c>
      <c r="G19" s="12">
        <v>36.4</v>
      </c>
      <c r="H19" s="13">
        <v>22.4</v>
      </c>
      <c r="J19" s="58" t="s">
        <v>30</v>
      </c>
      <c r="K19" s="59">
        <f>SUM(K18-K13)</f>
        <v>153</v>
      </c>
      <c r="M19" s="22">
        <f>SUM(K21/K10)</f>
        <v>32.180821917808217</v>
      </c>
      <c r="N19" s="1"/>
    </row>
    <row r="20" spans="1:14" x14ac:dyDescent="0.25">
      <c r="A20" s="14">
        <v>15</v>
      </c>
      <c r="B20" s="7">
        <f t="shared" si="0"/>
        <v>81</v>
      </c>
      <c r="C20" s="8">
        <v>30</v>
      </c>
      <c r="D20" s="9">
        <f t="shared" si="1"/>
        <v>96</v>
      </c>
      <c r="E20" s="10">
        <v>36</v>
      </c>
      <c r="F20" s="11">
        <f t="shared" si="2"/>
        <v>105</v>
      </c>
      <c r="G20" s="12">
        <v>39</v>
      </c>
      <c r="H20" s="13">
        <v>24</v>
      </c>
      <c r="J20" s="62" t="s">
        <v>46</v>
      </c>
      <c r="K20" s="63">
        <f>SUM((K19*K11)/365)</f>
        <v>108.56712328767124</v>
      </c>
      <c r="M20" s="22">
        <f>SUM(K22/K10)</f>
        <v>-7</v>
      </c>
      <c r="N20" s="1" t="s">
        <v>1</v>
      </c>
    </row>
    <row r="21" spans="1:14" ht="15.75" thickBot="1" x14ac:dyDescent="0.3">
      <c r="A21" s="14">
        <v>16</v>
      </c>
      <c r="B21" s="7">
        <f t="shared" si="0"/>
        <v>86.4</v>
      </c>
      <c r="C21" s="8">
        <v>32</v>
      </c>
      <c r="D21" s="9">
        <f t="shared" si="1"/>
        <v>102.4</v>
      </c>
      <c r="E21" s="10">
        <v>38.4</v>
      </c>
      <c r="F21" s="11">
        <f t="shared" si="2"/>
        <v>112</v>
      </c>
      <c r="G21" s="12">
        <v>41.6</v>
      </c>
      <c r="H21" s="13">
        <v>25.6</v>
      </c>
      <c r="J21" s="64" t="s">
        <v>47</v>
      </c>
      <c r="K21" s="65">
        <f>SUM(K12+K16+K20)</f>
        <v>238.13808219178082</v>
      </c>
      <c r="M21" s="56"/>
      <c r="N21" s="1"/>
    </row>
    <row r="22" spans="1:14" ht="15.75" thickBot="1" x14ac:dyDescent="0.3">
      <c r="A22" s="14">
        <v>17</v>
      </c>
      <c r="B22" s="7">
        <f t="shared" si="0"/>
        <v>91.8</v>
      </c>
      <c r="C22" s="8">
        <v>34</v>
      </c>
      <c r="D22" s="9">
        <f t="shared" si="1"/>
        <v>108.8</v>
      </c>
      <c r="E22" s="10">
        <v>40.799999999999997</v>
      </c>
      <c r="F22" s="11">
        <f t="shared" si="2"/>
        <v>119</v>
      </c>
      <c r="G22" s="12">
        <v>44.2</v>
      </c>
      <c r="H22" s="13">
        <v>27.2</v>
      </c>
      <c r="J22" s="67" t="s">
        <v>48</v>
      </c>
      <c r="K22" s="68">
        <f>SUM((H46-K24)*K10)</f>
        <v>-51.800000000000004</v>
      </c>
      <c r="M22" s="56"/>
      <c r="N22" s="1"/>
    </row>
    <row r="23" spans="1:14" ht="15.75" thickBot="1" x14ac:dyDescent="0.3">
      <c r="A23" s="14">
        <v>18</v>
      </c>
      <c r="B23" s="7">
        <f t="shared" si="0"/>
        <v>97.2</v>
      </c>
      <c r="C23" s="8">
        <v>36</v>
      </c>
      <c r="D23" s="9">
        <f t="shared" si="1"/>
        <v>115.2</v>
      </c>
      <c r="E23" s="10">
        <v>43.2</v>
      </c>
      <c r="F23" s="11">
        <f t="shared" si="2"/>
        <v>126</v>
      </c>
      <c r="G23" s="12">
        <v>46.8</v>
      </c>
      <c r="H23" s="13">
        <v>28.8</v>
      </c>
      <c r="J23" s="69" t="s">
        <v>49</v>
      </c>
      <c r="K23" s="33"/>
      <c r="M23" s="22">
        <f>SUM(K25/K10)</f>
        <v>10.509589041095889</v>
      </c>
      <c r="N23" s="1"/>
    </row>
    <row r="24" spans="1:14" ht="15.75" thickBot="1" x14ac:dyDescent="0.3">
      <c r="A24" s="14">
        <v>19</v>
      </c>
      <c r="B24" s="7">
        <f t="shared" si="0"/>
        <v>102.6</v>
      </c>
      <c r="C24" s="8">
        <v>38</v>
      </c>
      <c r="D24" s="9">
        <f t="shared" si="1"/>
        <v>121.6</v>
      </c>
      <c r="E24" s="10">
        <v>45.6</v>
      </c>
      <c r="F24" s="11">
        <f t="shared" si="2"/>
        <v>133</v>
      </c>
      <c r="G24" s="12">
        <v>49.4</v>
      </c>
      <c r="H24" s="13">
        <v>30.4</v>
      </c>
      <c r="J24" s="70" t="s">
        <v>50</v>
      </c>
      <c r="K24" s="26">
        <v>7</v>
      </c>
      <c r="M24" s="73">
        <f>SUM(K26/K10)</f>
        <v>25.180821917808217</v>
      </c>
      <c r="N24" s="1"/>
    </row>
    <row r="25" spans="1:14" ht="15.75" thickBot="1" x14ac:dyDescent="0.3">
      <c r="A25" s="14">
        <v>20</v>
      </c>
      <c r="B25" s="7">
        <f t="shared" si="0"/>
        <v>108</v>
      </c>
      <c r="C25" s="8">
        <v>40</v>
      </c>
      <c r="D25" s="9">
        <f t="shared" si="1"/>
        <v>128</v>
      </c>
      <c r="E25" s="10">
        <v>48</v>
      </c>
      <c r="F25" s="11">
        <f t="shared" si="2"/>
        <v>140</v>
      </c>
      <c r="G25" s="12">
        <v>52</v>
      </c>
      <c r="H25" s="13">
        <v>32</v>
      </c>
      <c r="J25" s="71" t="s">
        <v>51</v>
      </c>
      <c r="K25" s="72">
        <f>IF((K24*K10)&gt;=K17,(K17-(K24*K10)),IF(K24&gt;=H46,(K17-(K24*K10)),IF(K24&lt;H46,((H46-K24)*K10),0)))</f>
        <v>77.770958904109591</v>
      </c>
      <c r="M25" s="76"/>
      <c r="N25" s="1"/>
    </row>
    <row r="26" spans="1:14" ht="15.75" thickBot="1" x14ac:dyDescent="0.3">
      <c r="A26" s="14">
        <v>21</v>
      </c>
      <c r="B26" s="7">
        <f t="shared" si="0"/>
        <v>113.4</v>
      </c>
      <c r="C26" s="8">
        <v>42</v>
      </c>
      <c r="D26" s="9">
        <f t="shared" si="1"/>
        <v>134.4</v>
      </c>
      <c r="E26" s="10">
        <v>50.4</v>
      </c>
      <c r="F26" s="11">
        <f t="shared" si="2"/>
        <v>147</v>
      </c>
      <c r="G26" s="12">
        <v>54.6</v>
      </c>
      <c r="H26" s="13">
        <v>33.6</v>
      </c>
      <c r="J26" s="71" t="s">
        <v>52</v>
      </c>
      <c r="K26" s="72">
        <f>SUM(K21-(K24*K10))</f>
        <v>186.33808219178081</v>
      </c>
      <c r="L26" s="1"/>
      <c r="M26" s="42"/>
      <c r="N26" s="1"/>
    </row>
    <row r="27" spans="1:14" ht="15.75" thickBot="1" x14ac:dyDescent="0.3">
      <c r="A27" s="14">
        <v>22</v>
      </c>
      <c r="B27" s="7">
        <f t="shared" si="0"/>
        <v>118.8</v>
      </c>
      <c r="C27" s="8">
        <v>44</v>
      </c>
      <c r="D27" s="9">
        <f t="shared" si="1"/>
        <v>140.80000000000001</v>
      </c>
      <c r="E27" s="10">
        <v>52.8</v>
      </c>
      <c r="F27" s="11">
        <f t="shared" si="2"/>
        <v>154</v>
      </c>
      <c r="G27" s="12">
        <v>57.2</v>
      </c>
      <c r="H27" s="13">
        <v>35.200000000000003</v>
      </c>
      <c r="J27" s="74" t="s">
        <v>38</v>
      </c>
      <c r="K27" s="75">
        <f>SUM(K14*K10)</f>
        <v>29.6</v>
      </c>
      <c r="L27" s="1"/>
      <c r="M27" s="43"/>
      <c r="N27" s="1"/>
    </row>
    <row r="28" spans="1:14" x14ac:dyDescent="0.25">
      <c r="A28" s="14">
        <v>23</v>
      </c>
      <c r="B28" s="7">
        <f t="shared" si="0"/>
        <v>124.2</v>
      </c>
      <c r="C28" s="8">
        <v>46</v>
      </c>
      <c r="D28" s="9">
        <f t="shared" si="1"/>
        <v>147.19999999999999</v>
      </c>
      <c r="E28" s="10">
        <v>55.2</v>
      </c>
      <c r="F28" s="11">
        <f t="shared" si="2"/>
        <v>161</v>
      </c>
      <c r="G28" s="12">
        <v>59.8</v>
      </c>
      <c r="H28" s="13">
        <v>36.799999999999997</v>
      </c>
      <c r="L28" s="1"/>
      <c r="M28" s="43"/>
      <c r="N28" s="1"/>
    </row>
    <row r="29" spans="1:14" x14ac:dyDescent="0.25">
      <c r="A29" s="14">
        <v>24</v>
      </c>
      <c r="B29" s="7">
        <f t="shared" si="0"/>
        <v>129.6</v>
      </c>
      <c r="C29" s="8">
        <v>48</v>
      </c>
      <c r="D29" s="9">
        <f t="shared" si="1"/>
        <v>153.6</v>
      </c>
      <c r="E29" s="10">
        <v>57.6</v>
      </c>
      <c r="F29" s="11">
        <f t="shared" si="2"/>
        <v>168</v>
      </c>
      <c r="G29" s="12">
        <v>62.4</v>
      </c>
      <c r="H29" s="13">
        <v>38.4</v>
      </c>
      <c r="J29" s="49" t="s">
        <v>12</v>
      </c>
      <c r="K29" s="1"/>
      <c r="L29" s="1"/>
      <c r="M29" s="42"/>
      <c r="N29" s="1"/>
    </row>
    <row r="30" spans="1:14" x14ac:dyDescent="0.25">
      <c r="A30" s="14">
        <v>25</v>
      </c>
      <c r="B30" s="7">
        <f t="shared" si="0"/>
        <v>135</v>
      </c>
      <c r="C30" s="8">
        <v>50</v>
      </c>
      <c r="D30" s="9">
        <f t="shared" si="1"/>
        <v>160</v>
      </c>
      <c r="E30" s="10">
        <v>60</v>
      </c>
      <c r="F30" s="11">
        <f t="shared" si="2"/>
        <v>175</v>
      </c>
      <c r="G30" s="12">
        <v>65</v>
      </c>
      <c r="H30" s="13">
        <v>40</v>
      </c>
      <c r="J30" s="49" t="s">
        <v>13</v>
      </c>
      <c r="K30" s="1"/>
      <c r="L30" s="1"/>
      <c r="M30" s="42"/>
      <c r="N30" s="1"/>
    </row>
    <row r="31" spans="1:14" x14ac:dyDescent="0.25">
      <c r="A31" s="14">
        <v>26</v>
      </c>
      <c r="B31" s="7">
        <f t="shared" si="0"/>
        <v>140.4</v>
      </c>
      <c r="C31" s="8">
        <v>52</v>
      </c>
      <c r="D31" s="9">
        <f t="shared" si="1"/>
        <v>166.4</v>
      </c>
      <c r="E31" s="10">
        <v>62.4</v>
      </c>
      <c r="F31" s="11">
        <f t="shared" si="2"/>
        <v>182</v>
      </c>
      <c r="G31" s="12">
        <v>67.599999999999994</v>
      </c>
      <c r="H31" s="13">
        <v>41.6</v>
      </c>
      <c r="J31" s="50"/>
      <c r="K31" s="49"/>
      <c r="L31" s="49"/>
      <c r="M31" s="49"/>
      <c r="N31" s="49"/>
    </row>
    <row r="32" spans="1:14" x14ac:dyDescent="0.25">
      <c r="A32" s="14">
        <v>27</v>
      </c>
      <c r="B32" s="7">
        <f t="shared" si="0"/>
        <v>145.80000000000001</v>
      </c>
      <c r="C32" s="8">
        <v>54</v>
      </c>
      <c r="D32" s="9">
        <f t="shared" si="1"/>
        <v>172.8</v>
      </c>
      <c r="E32" s="10">
        <v>64.8</v>
      </c>
      <c r="F32" s="11">
        <f t="shared" si="2"/>
        <v>189</v>
      </c>
      <c r="G32" s="12">
        <v>70.2</v>
      </c>
      <c r="H32" s="13">
        <v>43.2</v>
      </c>
      <c r="J32" s="51" t="s">
        <v>14</v>
      </c>
      <c r="K32" s="50"/>
      <c r="L32" s="50"/>
      <c r="M32" s="50"/>
      <c r="N32" s="50"/>
    </row>
    <row r="33" spans="1:14" x14ac:dyDescent="0.25">
      <c r="A33" s="14">
        <v>28</v>
      </c>
      <c r="B33" s="7">
        <f t="shared" si="0"/>
        <v>151.19999999999999</v>
      </c>
      <c r="C33" s="8">
        <v>56</v>
      </c>
      <c r="D33" s="9">
        <f t="shared" si="1"/>
        <v>179.2</v>
      </c>
      <c r="E33" s="10">
        <v>67.2</v>
      </c>
      <c r="F33" s="11">
        <f t="shared" si="2"/>
        <v>196</v>
      </c>
      <c r="G33" s="12">
        <v>72.8</v>
      </c>
      <c r="H33" s="13">
        <v>44.8</v>
      </c>
      <c r="K33" s="50"/>
      <c r="L33" s="50"/>
      <c r="M33" s="50"/>
      <c r="N33" s="50"/>
    </row>
    <row r="34" spans="1:14" x14ac:dyDescent="0.25">
      <c r="A34" s="14">
        <v>29</v>
      </c>
      <c r="B34" s="7">
        <f t="shared" si="0"/>
        <v>156.6</v>
      </c>
      <c r="C34" s="8">
        <v>58</v>
      </c>
      <c r="D34" s="9">
        <f t="shared" si="1"/>
        <v>185.6</v>
      </c>
      <c r="E34" s="10">
        <v>69.599999999999994</v>
      </c>
      <c r="F34" s="11">
        <f t="shared" si="2"/>
        <v>203</v>
      </c>
      <c r="G34" s="12">
        <v>75.400000000000006</v>
      </c>
      <c r="H34" s="13">
        <v>46.4</v>
      </c>
      <c r="K34" s="1"/>
      <c r="L34" s="1"/>
      <c r="M34" s="42"/>
      <c r="N34" s="1"/>
    </row>
    <row r="35" spans="1:14" x14ac:dyDescent="0.25">
      <c r="A35" s="14">
        <v>30</v>
      </c>
      <c r="B35" s="7">
        <f t="shared" si="0"/>
        <v>162</v>
      </c>
      <c r="C35" s="8">
        <v>60</v>
      </c>
      <c r="D35" s="9">
        <f t="shared" si="1"/>
        <v>192</v>
      </c>
      <c r="E35" s="10">
        <v>72</v>
      </c>
      <c r="F35" s="11">
        <f t="shared" si="2"/>
        <v>210</v>
      </c>
      <c r="G35" s="12">
        <v>78</v>
      </c>
      <c r="H35" s="13">
        <v>48</v>
      </c>
      <c r="K35" s="51"/>
      <c r="L35" s="51"/>
      <c r="M35" s="51"/>
      <c r="N35" s="51"/>
    </row>
    <row r="36" spans="1:14" x14ac:dyDescent="0.25">
      <c r="A36" s="14">
        <v>31</v>
      </c>
      <c r="B36" s="7">
        <f t="shared" si="0"/>
        <v>167.4</v>
      </c>
      <c r="C36" s="8">
        <v>62</v>
      </c>
      <c r="D36" s="9">
        <f t="shared" si="1"/>
        <v>198.4</v>
      </c>
      <c r="E36" s="10">
        <v>74.400000000000006</v>
      </c>
      <c r="F36" s="11">
        <f t="shared" si="2"/>
        <v>217</v>
      </c>
      <c r="G36" s="12">
        <v>80.599999999999994</v>
      </c>
      <c r="H36" s="13">
        <v>49.6</v>
      </c>
      <c r="J36" s="46"/>
      <c r="K36" s="1"/>
      <c r="L36" s="1"/>
      <c r="M36" s="42"/>
      <c r="N36" s="1"/>
    </row>
    <row r="37" spans="1:14" x14ac:dyDescent="0.25">
      <c r="A37" s="14">
        <v>32</v>
      </c>
      <c r="B37" s="7">
        <f t="shared" si="0"/>
        <v>172.8</v>
      </c>
      <c r="C37" s="8">
        <v>64</v>
      </c>
      <c r="D37" s="9">
        <f t="shared" si="1"/>
        <v>204.8</v>
      </c>
      <c r="E37" s="10">
        <v>76.8</v>
      </c>
      <c r="F37" s="11">
        <f t="shared" si="2"/>
        <v>224</v>
      </c>
      <c r="G37" s="12">
        <v>83.2</v>
      </c>
      <c r="H37" s="13">
        <v>51.2</v>
      </c>
      <c r="J37" s="46"/>
      <c r="K37" s="1"/>
      <c r="L37" s="1"/>
      <c r="M37" s="42"/>
      <c r="N37" s="1"/>
    </row>
    <row r="38" spans="1:14" x14ac:dyDescent="0.25">
      <c r="A38" s="14">
        <v>33</v>
      </c>
      <c r="B38" s="7">
        <f t="shared" si="0"/>
        <v>178.2</v>
      </c>
      <c r="C38" s="8">
        <v>66</v>
      </c>
      <c r="D38" s="9">
        <f t="shared" si="1"/>
        <v>211.2</v>
      </c>
      <c r="E38" s="10">
        <v>79.2</v>
      </c>
      <c r="F38" s="11">
        <f t="shared" si="2"/>
        <v>231</v>
      </c>
      <c r="G38" s="12">
        <v>85.8</v>
      </c>
      <c r="H38" s="13">
        <v>52.8</v>
      </c>
      <c r="J38" s="47"/>
      <c r="K38" s="1"/>
      <c r="L38" s="1"/>
      <c r="M38" s="42"/>
      <c r="N38" s="1"/>
    </row>
    <row r="39" spans="1:14" x14ac:dyDescent="0.25">
      <c r="A39" s="14">
        <v>34</v>
      </c>
      <c r="B39" s="7">
        <f t="shared" si="0"/>
        <v>183.6</v>
      </c>
      <c r="C39" s="8">
        <v>68</v>
      </c>
      <c r="D39" s="9">
        <f t="shared" si="1"/>
        <v>217.6</v>
      </c>
      <c r="E39" s="10">
        <v>81.599999999999994</v>
      </c>
      <c r="F39" s="11">
        <f t="shared" si="2"/>
        <v>238</v>
      </c>
      <c r="G39" s="12">
        <v>88.4</v>
      </c>
      <c r="H39" s="13">
        <v>54.4</v>
      </c>
    </row>
    <row r="40" spans="1:14" x14ac:dyDescent="0.25">
      <c r="A40" s="14">
        <v>35</v>
      </c>
      <c r="B40" s="7">
        <f t="shared" si="0"/>
        <v>189</v>
      </c>
      <c r="C40" s="8">
        <v>70</v>
      </c>
      <c r="D40" s="9">
        <f t="shared" si="1"/>
        <v>224</v>
      </c>
      <c r="E40" s="10">
        <v>84</v>
      </c>
      <c r="F40" s="11">
        <f t="shared" si="2"/>
        <v>245</v>
      </c>
      <c r="G40" s="12">
        <v>91</v>
      </c>
      <c r="H40" s="13">
        <v>56</v>
      </c>
    </row>
    <row r="41" spans="1:14" x14ac:dyDescent="0.25">
      <c r="A41" s="14">
        <v>36</v>
      </c>
      <c r="B41" s="7">
        <f t="shared" si="0"/>
        <v>194.4</v>
      </c>
      <c r="C41" s="8">
        <v>72</v>
      </c>
      <c r="D41" s="9">
        <f t="shared" si="1"/>
        <v>230.4</v>
      </c>
      <c r="E41" s="10">
        <v>86.4</v>
      </c>
      <c r="F41" s="11">
        <f t="shared" si="2"/>
        <v>252</v>
      </c>
      <c r="G41" s="12">
        <v>93.6</v>
      </c>
      <c r="H41" s="13">
        <v>57.6</v>
      </c>
    </row>
    <row r="42" spans="1:14" ht="15.75" thickBot="1" x14ac:dyDescent="0.3">
      <c r="A42" s="48">
        <v>37</v>
      </c>
      <c r="B42" s="7">
        <f>SUM((A42*27)/5)</f>
        <v>199.8</v>
      </c>
      <c r="C42" s="8">
        <v>74</v>
      </c>
      <c r="D42" s="9">
        <f>SUM((A42*32)/5)</f>
        <v>236.8</v>
      </c>
      <c r="E42" s="10">
        <v>88.8</v>
      </c>
      <c r="F42" s="11">
        <f t="shared" si="2"/>
        <v>259</v>
      </c>
      <c r="G42" s="12">
        <v>96.2</v>
      </c>
      <c r="H42" s="13">
        <v>59.2</v>
      </c>
    </row>
  </sheetData>
  <mergeCells count="1">
    <mergeCell ref="A4:H4"/>
  </mergeCells>
  <hyperlinks>
    <hyperlink ref="J35:N35" r:id="rId1" display="Please find the guidance notes on how to adjust and employees leave entitlement in MyView here:  &lt;http://intranet/our-people/hr/resourcelink-myview/&gt;" xr:uid="{D88BFF2A-F039-4233-AC98-F0CFBFAE6F4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9D1BB-653D-4057-86C8-BE3B70915F58}">
  <dimension ref="A1:Q42"/>
  <sheetViews>
    <sheetView topLeftCell="A18" workbookViewId="0">
      <selection activeCell="J33" sqref="J33"/>
    </sheetView>
  </sheetViews>
  <sheetFormatPr defaultRowHeight="15" x14ac:dyDescent="0.25"/>
  <cols>
    <col min="1" max="1" width="11" customWidth="1"/>
    <col min="2" max="2" width="10.5703125" customWidth="1"/>
    <col min="3" max="3" width="9.85546875" customWidth="1"/>
    <col min="4" max="4" width="10.28515625" customWidth="1"/>
    <col min="5" max="5" width="10" customWidth="1"/>
    <col min="6" max="6" width="10.85546875" customWidth="1"/>
    <col min="7" max="7" width="10.42578125" customWidth="1"/>
    <col min="8" max="8" width="10" customWidth="1"/>
    <col min="10" max="10" width="92.42578125" customWidth="1"/>
    <col min="11" max="11" width="11.42578125" bestFit="1" customWidth="1"/>
    <col min="12" max="12" width="3.140625" customWidth="1"/>
    <col min="13" max="13" width="10.7109375" bestFit="1" customWidth="1"/>
  </cols>
  <sheetData>
    <row r="1" spans="1:17" x14ac:dyDescent="0.25">
      <c r="J1" s="44" t="s">
        <v>15</v>
      </c>
    </row>
    <row r="2" spans="1:17" x14ac:dyDescent="0.25">
      <c r="J2" s="45" t="s">
        <v>16</v>
      </c>
    </row>
    <row r="3" spans="1:17" ht="15.75" thickBot="1" x14ac:dyDescent="0.3">
      <c r="J3" s="1"/>
    </row>
    <row r="4" spans="1:17" x14ac:dyDescent="0.25">
      <c r="A4" s="85" t="s">
        <v>11</v>
      </c>
      <c r="B4" s="86"/>
      <c r="C4" s="86"/>
      <c r="D4" s="86"/>
      <c r="E4" s="86"/>
      <c r="F4" s="86"/>
      <c r="G4" s="86"/>
      <c r="H4" s="87"/>
      <c r="I4" s="1"/>
      <c r="J4" s="88" t="s">
        <v>4</v>
      </c>
      <c r="K4" s="89"/>
      <c r="L4" s="1"/>
      <c r="M4" s="2" t="s">
        <v>53</v>
      </c>
      <c r="N4" s="1"/>
      <c r="O4" s="1"/>
      <c r="P4" s="1"/>
      <c r="Q4" s="1"/>
    </row>
    <row r="5" spans="1:17" ht="112.5" customHeight="1" x14ac:dyDescent="0.25">
      <c r="A5" s="52" t="s">
        <v>5</v>
      </c>
      <c r="B5" s="52" t="s">
        <v>6</v>
      </c>
      <c r="C5" s="52" t="s">
        <v>7</v>
      </c>
      <c r="D5" s="52" t="s">
        <v>10</v>
      </c>
      <c r="E5" s="52" t="s">
        <v>7</v>
      </c>
      <c r="F5" s="53" t="s">
        <v>9</v>
      </c>
      <c r="G5" s="52" t="s">
        <v>7</v>
      </c>
      <c r="H5" s="52" t="s">
        <v>8</v>
      </c>
      <c r="I5" s="1"/>
      <c r="J5" s="3" t="s">
        <v>17</v>
      </c>
      <c r="K5" s="4">
        <v>44835</v>
      </c>
      <c r="L5" s="1"/>
      <c r="M5" s="5"/>
      <c r="N5" s="1"/>
      <c r="O5" s="1"/>
      <c r="P5" s="1"/>
      <c r="Q5" s="1"/>
    </row>
    <row r="6" spans="1:17" x14ac:dyDescent="0.25">
      <c r="A6" s="6">
        <v>1</v>
      </c>
      <c r="B6" s="7">
        <f t="shared" ref="B6:B41" si="0">SUM((A6*27)/5)</f>
        <v>5.4</v>
      </c>
      <c r="C6" s="8">
        <v>2</v>
      </c>
      <c r="D6" s="9">
        <f t="shared" ref="D6:D41" si="1">SUM((A6*32)/5)</f>
        <v>6.4</v>
      </c>
      <c r="E6" s="10">
        <v>2.4</v>
      </c>
      <c r="F6" s="11">
        <f t="shared" ref="F6:F42" si="2">SUM((A6*35)/5)</f>
        <v>7</v>
      </c>
      <c r="G6" s="12">
        <v>2.6</v>
      </c>
      <c r="H6" s="13">
        <v>1.6</v>
      </c>
      <c r="I6" s="1"/>
      <c r="J6" s="3" t="s">
        <v>18</v>
      </c>
      <c r="K6" s="4">
        <v>45068</v>
      </c>
      <c r="L6" s="1"/>
      <c r="M6" s="5"/>
      <c r="N6" s="1"/>
      <c r="O6" s="1"/>
      <c r="P6" s="1"/>
      <c r="Q6" s="1"/>
    </row>
    <row r="7" spans="1:17" x14ac:dyDescent="0.25">
      <c r="A7" s="14">
        <v>2</v>
      </c>
      <c r="B7" s="7">
        <f t="shared" si="0"/>
        <v>10.8</v>
      </c>
      <c r="C7" s="8">
        <v>4</v>
      </c>
      <c r="D7" s="9">
        <f t="shared" si="1"/>
        <v>12.8</v>
      </c>
      <c r="E7" s="10">
        <v>4.8</v>
      </c>
      <c r="F7" s="11">
        <f t="shared" si="2"/>
        <v>14</v>
      </c>
      <c r="G7" s="12">
        <v>5.2</v>
      </c>
      <c r="H7" s="13">
        <v>3.2</v>
      </c>
      <c r="I7" s="1"/>
      <c r="J7" s="15" t="s">
        <v>19</v>
      </c>
      <c r="K7" s="16">
        <f>SUM((K6-K5)+28)</f>
        <v>261</v>
      </c>
      <c r="L7" s="1"/>
      <c r="M7" s="5"/>
      <c r="N7" s="1"/>
      <c r="O7" s="1"/>
      <c r="P7" s="1"/>
      <c r="Q7" s="1"/>
    </row>
    <row r="8" spans="1:17" x14ac:dyDescent="0.25">
      <c r="A8" s="14">
        <v>3</v>
      </c>
      <c r="B8" s="7">
        <f t="shared" si="0"/>
        <v>16.2</v>
      </c>
      <c r="C8" s="8">
        <v>6</v>
      </c>
      <c r="D8" s="9">
        <f t="shared" si="1"/>
        <v>19.2</v>
      </c>
      <c r="E8" s="10">
        <v>7.2</v>
      </c>
      <c r="F8" s="11">
        <f t="shared" si="2"/>
        <v>21</v>
      </c>
      <c r="G8" s="12">
        <v>7.8</v>
      </c>
      <c r="H8" s="13">
        <v>4.8</v>
      </c>
      <c r="I8" s="1"/>
      <c r="J8" s="17" t="s">
        <v>20</v>
      </c>
      <c r="K8" s="18">
        <v>30</v>
      </c>
      <c r="L8" s="1"/>
      <c r="M8" s="5"/>
      <c r="N8" s="1"/>
      <c r="O8" s="1"/>
      <c r="P8" s="1"/>
      <c r="Q8" s="1"/>
    </row>
    <row r="9" spans="1:17" x14ac:dyDescent="0.25">
      <c r="A9" s="14">
        <v>4</v>
      </c>
      <c r="B9" s="7">
        <f t="shared" si="0"/>
        <v>21.6</v>
      </c>
      <c r="C9" s="8">
        <v>8</v>
      </c>
      <c r="D9" s="9">
        <f t="shared" si="1"/>
        <v>25.6</v>
      </c>
      <c r="E9" s="10">
        <v>9.6</v>
      </c>
      <c r="F9" s="11">
        <f t="shared" si="2"/>
        <v>28</v>
      </c>
      <c r="G9" s="12">
        <v>10.4</v>
      </c>
      <c r="H9" s="13">
        <v>6.4</v>
      </c>
      <c r="I9" s="1"/>
      <c r="J9" s="17" t="s">
        <v>21</v>
      </c>
      <c r="K9" s="18">
        <v>5</v>
      </c>
      <c r="L9" s="1"/>
      <c r="M9" s="5"/>
      <c r="N9" s="1"/>
      <c r="O9" s="1"/>
      <c r="P9" s="1"/>
      <c r="Q9" s="1"/>
    </row>
    <row r="10" spans="1:17" x14ac:dyDescent="0.25">
      <c r="A10" s="14">
        <v>5</v>
      </c>
      <c r="B10" s="7">
        <f t="shared" si="0"/>
        <v>27</v>
      </c>
      <c r="C10" s="8">
        <v>10</v>
      </c>
      <c r="D10" s="9">
        <f t="shared" si="1"/>
        <v>32</v>
      </c>
      <c r="E10" s="10">
        <v>12</v>
      </c>
      <c r="F10" s="11">
        <f t="shared" si="2"/>
        <v>35</v>
      </c>
      <c r="G10" s="12">
        <v>13</v>
      </c>
      <c r="H10" s="13">
        <v>8</v>
      </c>
      <c r="I10" s="1"/>
      <c r="J10" s="15" t="s">
        <v>22</v>
      </c>
      <c r="K10" s="19">
        <f>SUM(K8/K9)</f>
        <v>6</v>
      </c>
      <c r="L10" s="1"/>
      <c r="M10" s="5"/>
      <c r="N10" s="1"/>
      <c r="O10" s="1"/>
      <c r="P10" s="1"/>
      <c r="Q10" s="1"/>
    </row>
    <row r="11" spans="1:17" x14ac:dyDescent="0.25">
      <c r="A11" s="14">
        <v>6</v>
      </c>
      <c r="B11" s="7">
        <f t="shared" si="0"/>
        <v>32.4</v>
      </c>
      <c r="C11" s="8">
        <v>12</v>
      </c>
      <c r="D11" s="9">
        <f t="shared" si="1"/>
        <v>38.4</v>
      </c>
      <c r="E11" s="10">
        <v>14.4</v>
      </c>
      <c r="F11" s="11">
        <f t="shared" si="2"/>
        <v>42</v>
      </c>
      <c r="G11" s="12">
        <v>15.6</v>
      </c>
      <c r="H11" s="13">
        <v>9.6</v>
      </c>
      <c r="I11" s="1"/>
      <c r="J11" s="17" t="s">
        <v>23</v>
      </c>
      <c r="K11" s="18">
        <v>210</v>
      </c>
      <c r="L11" s="1"/>
      <c r="M11" s="5"/>
      <c r="N11" s="1"/>
      <c r="O11" s="1"/>
      <c r="P11" s="1"/>
      <c r="Q11" s="1"/>
    </row>
    <row r="12" spans="1:17" x14ac:dyDescent="0.25">
      <c r="A12" s="14">
        <v>7</v>
      </c>
      <c r="B12" s="7">
        <f t="shared" si="0"/>
        <v>37.799999999999997</v>
      </c>
      <c r="C12" s="8">
        <v>14</v>
      </c>
      <c r="D12" s="9">
        <f t="shared" si="1"/>
        <v>44.8</v>
      </c>
      <c r="E12" s="10">
        <v>16.8</v>
      </c>
      <c r="F12" s="11">
        <f t="shared" si="2"/>
        <v>49</v>
      </c>
      <c r="G12" s="12">
        <v>18.2</v>
      </c>
      <c r="H12" s="13">
        <v>11.2</v>
      </c>
      <c r="I12" s="1"/>
      <c r="J12" s="20" t="s">
        <v>0</v>
      </c>
      <c r="K12" s="21">
        <f>IF(K7&gt;365,(K11),((K7*(K11-(2*K10)))/365))</f>
        <v>141.58356164383562</v>
      </c>
      <c r="L12" s="1"/>
      <c r="M12" s="22">
        <f>SUM(K12/K10)</f>
        <v>23.597260273972605</v>
      </c>
      <c r="N12" s="1"/>
      <c r="O12" s="1"/>
      <c r="P12" s="1"/>
      <c r="Q12" s="1"/>
    </row>
    <row r="13" spans="1:17" x14ac:dyDescent="0.25">
      <c r="A13" s="14">
        <v>8</v>
      </c>
      <c r="B13" s="7">
        <f t="shared" si="0"/>
        <v>43.2</v>
      </c>
      <c r="C13" s="8">
        <v>16</v>
      </c>
      <c r="D13" s="9">
        <f t="shared" si="1"/>
        <v>51.2</v>
      </c>
      <c r="E13" s="10">
        <v>19.2</v>
      </c>
      <c r="F13" s="11">
        <f t="shared" si="2"/>
        <v>56</v>
      </c>
      <c r="G13" s="12">
        <v>20.8</v>
      </c>
      <c r="H13" s="13">
        <v>12.8</v>
      </c>
      <c r="I13" s="1"/>
      <c r="J13" s="3" t="s">
        <v>24</v>
      </c>
      <c r="K13" s="4">
        <v>45264</v>
      </c>
      <c r="L13" s="1"/>
      <c r="M13" s="5"/>
      <c r="N13" s="1"/>
      <c r="O13" s="1"/>
      <c r="P13" s="1"/>
      <c r="Q13" s="1"/>
    </row>
    <row r="14" spans="1:17" x14ac:dyDescent="0.25">
      <c r="A14" s="14">
        <v>9</v>
      </c>
      <c r="B14" s="7">
        <f t="shared" si="0"/>
        <v>48.6</v>
      </c>
      <c r="C14" s="8">
        <v>18</v>
      </c>
      <c r="D14" s="9">
        <f t="shared" si="1"/>
        <v>57.6</v>
      </c>
      <c r="E14" s="10">
        <v>21.6</v>
      </c>
      <c r="F14" s="11">
        <f t="shared" si="2"/>
        <v>63</v>
      </c>
      <c r="G14" s="12">
        <v>23.4</v>
      </c>
      <c r="H14" s="13">
        <v>14.4</v>
      </c>
      <c r="I14" s="23"/>
      <c r="J14" s="15" t="s">
        <v>25</v>
      </c>
      <c r="K14" s="16">
        <f>SUM((K13-(K5+365)))</f>
        <v>64</v>
      </c>
      <c r="L14" s="1"/>
      <c r="M14" s="5"/>
      <c r="N14" s="1"/>
      <c r="O14" s="1"/>
      <c r="P14" s="1"/>
      <c r="Q14" s="1"/>
    </row>
    <row r="15" spans="1:17" ht="15.75" thickBot="1" x14ac:dyDescent="0.3">
      <c r="A15" s="14">
        <v>10</v>
      </c>
      <c r="B15" s="7">
        <f t="shared" si="0"/>
        <v>54</v>
      </c>
      <c r="C15" s="8">
        <v>20</v>
      </c>
      <c r="D15" s="9">
        <f t="shared" si="1"/>
        <v>64</v>
      </c>
      <c r="E15" s="10">
        <v>24</v>
      </c>
      <c r="F15" s="11">
        <f t="shared" si="2"/>
        <v>70</v>
      </c>
      <c r="G15" s="12">
        <v>26</v>
      </c>
      <c r="H15" s="13">
        <v>16</v>
      </c>
      <c r="I15" s="23"/>
      <c r="J15" s="20" t="s">
        <v>26</v>
      </c>
      <c r="K15" s="21">
        <f>IF(K7&gt;365,(0),(((K10*((28/5)*K9)*(365-K7))/365)))</f>
        <v>47.868493150684934</v>
      </c>
      <c r="L15" s="24"/>
      <c r="M15" s="22">
        <f>SUM(K15/K10)</f>
        <v>7.978082191780822</v>
      </c>
      <c r="N15" s="24"/>
      <c r="O15" s="1"/>
      <c r="P15" s="1"/>
      <c r="Q15" s="1"/>
    </row>
    <row r="16" spans="1:17" x14ac:dyDescent="0.25">
      <c r="A16" s="14">
        <v>11</v>
      </c>
      <c r="B16" s="7">
        <f t="shared" si="0"/>
        <v>59.4</v>
      </c>
      <c r="C16" s="8">
        <v>22</v>
      </c>
      <c r="D16" s="9">
        <f t="shared" si="1"/>
        <v>70.400000000000006</v>
      </c>
      <c r="E16" s="10">
        <v>26.4</v>
      </c>
      <c r="F16" s="11">
        <f t="shared" si="2"/>
        <v>77</v>
      </c>
      <c r="G16" s="12">
        <v>28.6</v>
      </c>
      <c r="H16" s="13">
        <v>17.600000000000001</v>
      </c>
      <c r="I16" s="23"/>
      <c r="J16" s="25" t="s">
        <v>27</v>
      </c>
      <c r="K16" s="26">
        <v>12</v>
      </c>
      <c r="L16" s="24"/>
      <c r="M16" s="27"/>
      <c r="N16" s="1"/>
      <c r="O16" s="1"/>
      <c r="P16" s="1"/>
      <c r="Q16" s="1"/>
    </row>
    <row r="17" spans="1:17" x14ac:dyDescent="0.25">
      <c r="A17" s="14">
        <v>12</v>
      </c>
      <c r="B17" s="7">
        <f t="shared" si="0"/>
        <v>64.8</v>
      </c>
      <c r="C17" s="8">
        <v>24</v>
      </c>
      <c r="D17" s="9">
        <f t="shared" si="1"/>
        <v>76.8</v>
      </c>
      <c r="E17" s="10">
        <v>28.8</v>
      </c>
      <c r="F17" s="11">
        <f t="shared" si="2"/>
        <v>84</v>
      </c>
      <c r="G17" s="12">
        <v>31.2</v>
      </c>
      <c r="H17" s="13">
        <v>19.2</v>
      </c>
      <c r="I17" s="23"/>
      <c r="J17" s="20" t="s">
        <v>28</v>
      </c>
      <c r="K17" s="21">
        <f>IF(K16&gt;((K12+K15)/K10),((K12+K15)-(K16*K10)),IF(K16&lt;=((K12+K15)/K10),((((28/5)*K9)-K16)*K10),100))</f>
        <v>96</v>
      </c>
      <c r="L17" s="24"/>
      <c r="M17" s="28">
        <f>SUM(K17/K10)</f>
        <v>16</v>
      </c>
      <c r="N17" s="1" t="s">
        <v>1</v>
      </c>
      <c r="O17" s="1"/>
      <c r="P17" s="1"/>
      <c r="Q17" s="1"/>
    </row>
    <row r="18" spans="1:17" x14ac:dyDescent="0.25">
      <c r="A18" s="14">
        <v>13</v>
      </c>
      <c r="B18" s="7">
        <f t="shared" si="0"/>
        <v>70.2</v>
      </c>
      <c r="C18" s="8">
        <v>26</v>
      </c>
      <c r="D18" s="9">
        <f t="shared" si="1"/>
        <v>83.2</v>
      </c>
      <c r="E18" s="10">
        <v>31.2</v>
      </c>
      <c r="F18" s="11">
        <f t="shared" si="2"/>
        <v>91</v>
      </c>
      <c r="G18" s="12">
        <v>33.799999999999997</v>
      </c>
      <c r="H18" s="13">
        <v>20.8</v>
      </c>
      <c r="I18" s="23"/>
      <c r="J18" s="15" t="s">
        <v>29</v>
      </c>
      <c r="K18" s="29">
        <f>SUM(K5+365+365)</f>
        <v>45565</v>
      </c>
      <c r="L18" s="1"/>
      <c r="M18" s="5"/>
      <c r="N18" s="1"/>
      <c r="O18" s="1"/>
      <c r="P18" s="1"/>
      <c r="Q18" s="1"/>
    </row>
    <row r="19" spans="1:17" ht="15.75" thickBot="1" x14ac:dyDescent="0.3">
      <c r="A19" s="14">
        <v>14</v>
      </c>
      <c r="B19" s="7">
        <f t="shared" si="0"/>
        <v>75.599999999999994</v>
      </c>
      <c r="C19" s="8">
        <v>28</v>
      </c>
      <c r="D19" s="9">
        <f t="shared" si="1"/>
        <v>89.6</v>
      </c>
      <c r="E19" s="10">
        <v>33.6</v>
      </c>
      <c r="F19" s="11">
        <f t="shared" si="2"/>
        <v>98</v>
      </c>
      <c r="G19" s="12">
        <v>36.4</v>
      </c>
      <c r="H19" s="13">
        <v>22.4</v>
      </c>
      <c r="I19" s="23"/>
      <c r="J19" s="15" t="s">
        <v>30</v>
      </c>
      <c r="K19" s="16">
        <f>SUM(K18-K13)</f>
        <v>301</v>
      </c>
      <c r="L19" s="1"/>
      <c r="M19" s="5"/>
      <c r="N19" s="1"/>
      <c r="O19" s="1"/>
      <c r="P19" s="1"/>
      <c r="Q19" s="1"/>
    </row>
    <row r="20" spans="1:17" x14ac:dyDescent="0.25">
      <c r="A20" s="14">
        <v>15</v>
      </c>
      <c r="B20" s="7">
        <f t="shared" si="0"/>
        <v>81</v>
      </c>
      <c r="C20" s="8">
        <v>30</v>
      </c>
      <c r="D20" s="9">
        <f t="shared" si="1"/>
        <v>96</v>
      </c>
      <c r="E20" s="10">
        <v>36</v>
      </c>
      <c r="F20" s="11">
        <f t="shared" si="2"/>
        <v>105</v>
      </c>
      <c r="G20" s="12">
        <v>39</v>
      </c>
      <c r="H20" s="13">
        <v>24</v>
      </c>
      <c r="I20" s="23"/>
      <c r="J20" s="3" t="s">
        <v>31</v>
      </c>
      <c r="K20" s="26">
        <v>0</v>
      </c>
      <c r="L20" s="1"/>
      <c r="M20" s="5"/>
      <c r="N20" s="1"/>
      <c r="O20" s="1"/>
      <c r="P20" s="1"/>
      <c r="Q20" s="1"/>
    </row>
    <row r="21" spans="1:17" x14ac:dyDescent="0.25">
      <c r="A21" s="14">
        <v>16</v>
      </c>
      <c r="B21" s="7">
        <f t="shared" si="0"/>
        <v>86.4</v>
      </c>
      <c r="C21" s="8">
        <v>32</v>
      </c>
      <c r="D21" s="9">
        <f t="shared" si="1"/>
        <v>102.4</v>
      </c>
      <c r="E21" s="10">
        <v>38.4</v>
      </c>
      <c r="F21" s="11">
        <f t="shared" si="2"/>
        <v>112</v>
      </c>
      <c r="G21" s="12">
        <v>41.6</v>
      </c>
      <c r="H21" s="13">
        <v>25.6</v>
      </c>
      <c r="I21" s="23"/>
      <c r="J21" s="20" t="s">
        <v>32</v>
      </c>
      <c r="K21" s="21">
        <f>IF(K7&gt;365,((((K7-365)*(K11-(2*K10)))/365)+((K19*K11)/365)),((K19*K11/365)))</f>
        <v>173.17808219178082</v>
      </c>
      <c r="L21" s="24"/>
      <c r="M21" s="22">
        <f>SUM(K21/K10)</f>
        <v>28.863013698630137</v>
      </c>
      <c r="N21" s="1"/>
      <c r="O21" s="1"/>
      <c r="P21" s="1"/>
      <c r="Q21" s="1"/>
    </row>
    <row r="22" spans="1:17" ht="15.75" thickBot="1" x14ac:dyDescent="0.3">
      <c r="A22" s="14">
        <v>17</v>
      </c>
      <c r="B22" s="7">
        <f t="shared" si="0"/>
        <v>91.8</v>
      </c>
      <c r="C22" s="8">
        <v>34</v>
      </c>
      <c r="D22" s="9">
        <f t="shared" si="1"/>
        <v>108.8</v>
      </c>
      <c r="E22" s="10">
        <v>40.799999999999997</v>
      </c>
      <c r="F22" s="11">
        <f t="shared" si="2"/>
        <v>119</v>
      </c>
      <c r="G22" s="12">
        <v>44.2</v>
      </c>
      <c r="H22" s="13">
        <v>27.2</v>
      </c>
      <c r="I22" s="23"/>
      <c r="J22" s="30" t="s">
        <v>33</v>
      </c>
      <c r="K22" s="31">
        <f>SUM((K14*((((28/5)*K9)*K10))/365))</f>
        <v>29.457534246575342</v>
      </c>
      <c r="L22" s="24"/>
      <c r="M22" s="28">
        <f>SUM(K22/K10)</f>
        <v>4.9095890410958907</v>
      </c>
      <c r="N22" s="1" t="s">
        <v>1</v>
      </c>
      <c r="O22" s="1"/>
      <c r="P22" s="1"/>
      <c r="Q22" s="1"/>
    </row>
    <row r="23" spans="1:17" ht="15.75" thickBot="1" x14ac:dyDescent="0.3">
      <c r="A23" s="14">
        <v>18</v>
      </c>
      <c r="B23" s="7">
        <f t="shared" si="0"/>
        <v>97.2</v>
      </c>
      <c r="C23" s="8">
        <v>36</v>
      </c>
      <c r="D23" s="9">
        <f t="shared" si="1"/>
        <v>115.2</v>
      </c>
      <c r="E23" s="10">
        <v>43.2</v>
      </c>
      <c r="F23" s="11">
        <f t="shared" si="2"/>
        <v>126</v>
      </c>
      <c r="G23" s="12">
        <v>46.8</v>
      </c>
      <c r="H23" s="13">
        <v>28.8</v>
      </c>
      <c r="I23" s="23"/>
      <c r="J23" s="32" t="s">
        <v>34</v>
      </c>
      <c r="K23" s="33"/>
      <c r="L23" s="24"/>
      <c r="M23" s="27"/>
      <c r="N23" s="1"/>
      <c r="O23" s="1"/>
      <c r="P23" s="1"/>
      <c r="Q23" s="1"/>
    </row>
    <row r="24" spans="1:17" x14ac:dyDescent="0.25">
      <c r="A24" s="14">
        <v>19</v>
      </c>
      <c r="B24" s="7">
        <f t="shared" si="0"/>
        <v>102.6</v>
      </c>
      <c r="C24" s="8">
        <v>38</v>
      </c>
      <c r="D24" s="9">
        <f t="shared" si="1"/>
        <v>121.6</v>
      </c>
      <c r="E24" s="10">
        <v>45.6</v>
      </c>
      <c r="F24" s="11">
        <f t="shared" si="2"/>
        <v>133</v>
      </c>
      <c r="G24" s="12">
        <v>49.4</v>
      </c>
      <c r="H24" s="13">
        <v>30.4</v>
      </c>
      <c r="I24" s="23"/>
      <c r="J24" s="25" t="s">
        <v>35</v>
      </c>
      <c r="K24" s="26">
        <v>0</v>
      </c>
      <c r="L24" s="1"/>
      <c r="M24" s="5"/>
      <c r="N24" s="1"/>
      <c r="O24" s="1"/>
      <c r="P24" s="1"/>
      <c r="Q24" s="1"/>
    </row>
    <row r="25" spans="1:17" ht="15.75" thickBot="1" x14ac:dyDescent="0.3">
      <c r="A25" s="14">
        <v>20</v>
      </c>
      <c r="B25" s="7">
        <f t="shared" si="0"/>
        <v>108</v>
      </c>
      <c r="C25" s="8">
        <v>40</v>
      </c>
      <c r="D25" s="9">
        <f t="shared" si="1"/>
        <v>128</v>
      </c>
      <c r="E25" s="10">
        <v>48</v>
      </c>
      <c r="F25" s="11">
        <f t="shared" si="2"/>
        <v>140</v>
      </c>
      <c r="G25" s="12">
        <v>52</v>
      </c>
      <c r="H25" s="13">
        <v>32</v>
      </c>
      <c r="I25" s="23" t="s">
        <v>2</v>
      </c>
      <c r="J25" s="34" t="s">
        <v>36</v>
      </c>
      <c r="K25" s="35">
        <f>SUM((K17+K22)-(K24*K10))</f>
        <v>125.45753424657534</v>
      </c>
      <c r="L25" s="1"/>
      <c r="M25" s="36">
        <f>SUM(K25/K10)</f>
        <v>20.909589041095888</v>
      </c>
      <c r="N25" s="1"/>
      <c r="O25" s="1"/>
      <c r="P25" s="1"/>
      <c r="Q25" s="1"/>
    </row>
    <row r="26" spans="1:17" ht="15.75" thickBot="1" x14ac:dyDescent="0.3">
      <c r="A26" s="14">
        <v>21</v>
      </c>
      <c r="B26" s="7">
        <f t="shared" si="0"/>
        <v>113.4</v>
      </c>
      <c r="C26" s="8">
        <v>42</v>
      </c>
      <c r="D26" s="9">
        <f t="shared" si="1"/>
        <v>134.4</v>
      </c>
      <c r="E26" s="10">
        <v>50.4</v>
      </c>
      <c r="F26" s="11">
        <f t="shared" si="2"/>
        <v>147</v>
      </c>
      <c r="G26" s="12">
        <v>54.6</v>
      </c>
      <c r="H26" s="13">
        <v>33.6</v>
      </c>
      <c r="I26" s="23"/>
      <c r="J26" s="37"/>
      <c r="K26" s="38"/>
      <c r="L26" s="1"/>
      <c r="M26" s="27"/>
      <c r="N26" s="1"/>
      <c r="O26" s="1"/>
      <c r="P26" s="1"/>
      <c r="Q26" s="1"/>
    </row>
    <row r="27" spans="1:17" ht="15.75" thickBot="1" x14ac:dyDescent="0.3">
      <c r="A27" s="14">
        <v>22</v>
      </c>
      <c r="B27" s="7">
        <f t="shared" si="0"/>
        <v>118.8</v>
      </c>
      <c r="C27" s="8">
        <v>44</v>
      </c>
      <c r="D27" s="9">
        <f t="shared" si="1"/>
        <v>140.80000000000001</v>
      </c>
      <c r="E27" s="10">
        <v>52.8</v>
      </c>
      <c r="F27" s="11">
        <f t="shared" si="2"/>
        <v>154</v>
      </c>
      <c r="G27" s="12">
        <v>57.2</v>
      </c>
      <c r="H27" s="13">
        <v>35.200000000000003</v>
      </c>
      <c r="I27" s="23" t="s">
        <v>3</v>
      </c>
      <c r="J27" s="34" t="s">
        <v>37</v>
      </c>
      <c r="K27" s="35">
        <f>SUM((K22+K21+K17)-(K24*K10))</f>
        <v>298.63561643835612</v>
      </c>
      <c r="L27" s="1"/>
      <c r="M27" s="39">
        <f>SUM(K27/K10)</f>
        <v>49.772602739726018</v>
      </c>
      <c r="N27" s="1"/>
      <c r="O27" s="1"/>
      <c r="P27" s="1"/>
      <c r="Q27" s="1"/>
    </row>
    <row r="28" spans="1:17" ht="15.75" thickBot="1" x14ac:dyDescent="0.3">
      <c r="A28" s="14">
        <v>23</v>
      </c>
      <c r="B28" s="7">
        <f t="shared" si="0"/>
        <v>124.2</v>
      </c>
      <c r="C28" s="8">
        <v>46</v>
      </c>
      <c r="D28" s="9">
        <f t="shared" si="1"/>
        <v>147.19999999999999</v>
      </c>
      <c r="E28" s="10">
        <v>55.2</v>
      </c>
      <c r="F28" s="11">
        <f t="shared" si="2"/>
        <v>161</v>
      </c>
      <c r="G28" s="12">
        <v>59.8</v>
      </c>
      <c r="H28" s="13">
        <v>36.799999999999997</v>
      </c>
      <c r="I28" s="1"/>
      <c r="J28" s="40" t="s">
        <v>38</v>
      </c>
      <c r="K28" s="41">
        <f>SUM(K20*K10)</f>
        <v>0</v>
      </c>
      <c r="L28" s="1"/>
      <c r="M28" s="42"/>
      <c r="N28" s="1"/>
      <c r="O28" s="1"/>
      <c r="P28" s="1"/>
      <c r="Q28" s="1"/>
    </row>
    <row r="29" spans="1:17" x14ac:dyDescent="0.25">
      <c r="A29" s="14">
        <v>24</v>
      </c>
      <c r="B29" s="7">
        <f t="shared" si="0"/>
        <v>129.6</v>
      </c>
      <c r="C29" s="8">
        <v>48</v>
      </c>
      <c r="D29" s="9">
        <f t="shared" si="1"/>
        <v>153.6</v>
      </c>
      <c r="E29" s="10">
        <v>57.6</v>
      </c>
      <c r="F29" s="11">
        <f t="shared" si="2"/>
        <v>168</v>
      </c>
      <c r="G29" s="12">
        <v>62.4</v>
      </c>
      <c r="H29" s="13">
        <v>38.4</v>
      </c>
      <c r="I29" s="1"/>
      <c r="J29" s="1"/>
      <c r="K29" s="1"/>
      <c r="L29" s="1"/>
      <c r="M29" s="43"/>
      <c r="N29" s="1"/>
      <c r="O29" s="1"/>
      <c r="P29" s="1"/>
      <c r="Q29" s="1"/>
    </row>
    <row r="30" spans="1:17" x14ac:dyDescent="0.25">
      <c r="A30" s="14">
        <v>25</v>
      </c>
      <c r="B30" s="7">
        <f t="shared" si="0"/>
        <v>135</v>
      </c>
      <c r="C30" s="8">
        <v>50</v>
      </c>
      <c r="D30" s="9">
        <f t="shared" si="1"/>
        <v>160</v>
      </c>
      <c r="E30" s="10">
        <v>60</v>
      </c>
      <c r="F30" s="11">
        <f t="shared" si="2"/>
        <v>175</v>
      </c>
      <c r="G30" s="12">
        <v>65</v>
      </c>
      <c r="H30" s="13">
        <v>40</v>
      </c>
      <c r="I30" s="1"/>
      <c r="J30" s="49" t="s">
        <v>12</v>
      </c>
      <c r="K30" s="1"/>
      <c r="L30" s="1"/>
      <c r="M30" s="43"/>
      <c r="N30" s="1"/>
      <c r="O30" s="1"/>
      <c r="P30" s="1"/>
      <c r="Q30" s="1"/>
    </row>
    <row r="31" spans="1:17" x14ac:dyDescent="0.25">
      <c r="A31" s="14">
        <v>26</v>
      </c>
      <c r="B31" s="7">
        <f t="shared" si="0"/>
        <v>140.4</v>
      </c>
      <c r="C31" s="8">
        <v>52</v>
      </c>
      <c r="D31" s="9">
        <f t="shared" si="1"/>
        <v>166.4</v>
      </c>
      <c r="E31" s="10">
        <v>62.4</v>
      </c>
      <c r="F31" s="11">
        <f t="shared" si="2"/>
        <v>182</v>
      </c>
      <c r="G31" s="12">
        <v>67.599999999999994</v>
      </c>
      <c r="H31" s="13">
        <v>41.6</v>
      </c>
      <c r="I31" s="1"/>
      <c r="J31" s="49" t="s">
        <v>13</v>
      </c>
      <c r="K31" s="1"/>
      <c r="L31" s="1"/>
      <c r="M31" s="42"/>
      <c r="N31" s="1"/>
      <c r="O31" s="1"/>
      <c r="P31" s="1"/>
      <c r="Q31" s="1"/>
    </row>
    <row r="32" spans="1:17" ht="15" customHeight="1" x14ac:dyDescent="0.25">
      <c r="A32" s="14">
        <v>27</v>
      </c>
      <c r="B32" s="7">
        <f t="shared" si="0"/>
        <v>145.80000000000001</v>
      </c>
      <c r="C32" s="8">
        <v>54</v>
      </c>
      <c r="D32" s="9">
        <f t="shared" si="1"/>
        <v>172.8</v>
      </c>
      <c r="E32" s="10">
        <v>64.8</v>
      </c>
      <c r="F32" s="11">
        <f t="shared" si="2"/>
        <v>189</v>
      </c>
      <c r="G32" s="12">
        <v>70.2</v>
      </c>
      <c r="H32" s="13">
        <v>43.2</v>
      </c>
      <c r="I32" s="1"/>
      <c r="J32" s="50"/>
      <c r="K32" s="1"/>
      <c r="L32" s="1"/>
      <c r="M32" s="42"/>
      <c r="N32" s="1"/>
      <c r="O32" s="1"/>
      <c r="P32" s="1"/>
      <c r="Q32" s="1"/>
    </row>
    <row r="33" spans="1:17" x14ac:dyDescent="0.25">
      <c r="A33" s="14">
        <v>28</v>
      </c>
      <c r="B33" s="7">
        <f t="shared" si="0"/>
        <v>151.19999999999999</v>
      </c>
      <c r="C33" s="8">
        <v>56</v>
      </c>
      <c r="D33" s="9">
        <f t="shared" si="1"/>
        <v>179.2</v>
      </c>
      <c r="E33" s="10">
        <v>67.2</v>
      </c>
      <c r="F33" s="11">
        <f t="shared" si="2"/>
        <v>196</v>
      </c>
      <c r="G33" s="12">
        <v>72.8</v>
      </c>
      <c r="H33" s="13">
        <v>44.8</v>
      </c>
      <c r="I33" s="1"/>
      <c r="J33" s="51" t="s">
        <v>14</v>
      </c>
      <c r="K33" s="49"/>
      <c r="L33" s="49"/>
      <c r="M33" s="49"/>
      <c r="N33" s="49"/>
      <c r="O33" s="49"/>
      <c r="P33" s="49"/>
      <c r="Q33" s="49"/>
    </row>
    <row r="34" spans="1:17" x14ac:dyDescent="0.25">
      <c r="A34" s="14">
        <v>29</v>
      </c>
      <c r="B34" s="7">
        <f t="shared" si="0"/>
        <v>156.6</v>
      </c>
      <c r="C34" s="8">
        <v>58</v>
      </c>
      <c r="D34" s="9">
        <f t="shared" si="1"/>
        <v>185.6</v>
      </c>
      <c r="E34" s="10">
        <v>69.599999999999994</v>
      </c>
      <c r="F34" s="11">
        <f t="shared" si="2"/>
        <v>203</v>
      </c>
      <c r="G34" s="12">
        <v>75.400000000000006</v>
      </c>
      <c r="H34" s="13">
        <v>46.4</v>
      </c>
      <c r="I34" s="1"/>
      <c r="K34" s="50"/>
      <c r="L34" s="50"/>
      <c r="M34" s="50"/>
      <c r="N34" s="50"/>
      <c r="O34" s="50"/>
      <c r="P34" s="50"/>
      <c r="Q34" s="50"/>
    </row>
    <row r="35" spans="1:17" x14ac:dyDescent="0.25">
      <c r="A35" s="14">
        <v>30</v>
      </c>
      <c r="B35" s="7">
        <f t="shared" si="0"/>
        <v>162</v>
      </c>
      <c r="C35" s="8">
        <v>60</v>
      </c>
      <c r="D35" s="9">
        <f t="shared" si="1"/>
        <v>192</v>
      </c>
      <c r="E35" s="10">
        <v>72</v>
      </c>
      <c r="F35" s="11">
        <f t="shared" si="2"/>
        <v>210</v>
      </c>
      <c r="G35" s="12">
        <v>78</v>
      </c>
      <c r="H35" s="13">
        <v>48</v>
      </c>
      <c r="I35" s="1"/>
      <c r="K35" s="50"/>
      <c r="L35" s="50"/>
      <c r="M35" s="50"/>
      <c r="N35" s="50"/>
      <c r="O35" s="50"/>
      <c r="P35" s="50"/>
      <c r="Q35" s="50"/>
    </row>
    <row r="36" spans="1:17" x14ac:dyDescent="0.25">
      <c r="A36" s="14">
        <v>31</v>
      </c>
      <c r="B36" s="7">
        <f t="shared" si="0"/>
        <v>167.4</v>
      </c>
      <c r="C36" s="8">
        <v>62</v>
      </c>
      <c r="D36" s="9">
        <f t="shared" si="1"/>
        <v>198.4</v>
      </c>
      <c r="E36" s="10">
        <v>74.400000000000006</v>
      </c>
      <c r="F36" s="11">
        <f t="shared" si="2"/>
        <v>217</v>
      </c>
      <c r="G36" s="12">
        <v>80.599999999999994</v>
      </c>
      <c r="H36" s="13">
        <v>49.6</v>
      </c>
      <c r="I36" s="1"/>
      <c r="K36" s="1"/>
      <c r="L36" s="1"/>
      <c r="M36" s="42"/>
      <c r="N36" s="1"/>
      <c r="O36" s="1"/>
      <c r="P36" s="1"/>
      <c r="Q36" s="1"/>
    </row>
    <row r="37" spans="1:17" x14ac:dyDescent="0.25">
      <c r="A37" s="14">
        <v>32</v>
      </c>
      <c r="B37" s="7">
        <f t="shared" si="0"/>
        <v>172.8</v>
      </c>
      <c r="C37" s="8">
        <v>64</v>
      </c>
      <c r="D37" s="9">
        <f t="shared" si="1"/>
        <v>204.8</v>
      </c>
      <c r="E37" s="10">
        <v>76.8</v>
      </c>
      <c r="F37" s="11">
        <f t="shared" si="2"/>
        <v>224</v>
      </c>
      <c r="G37" s="12">
        <v>83.2</v>
      </c>
      <c r="H37" s="13">
        <v>51.2</v>
      </c>
      <c r="I37" s="1"/>
      <c r="K37" s="51"/>
      <c r="L37" s="51"/>
      <c r="M37" s="51"/>
      <c r="N37" s="51"/>
      <c r="O37" s="51"/>
      <c r="P37" s="51"/>
      <c r="Q37" s="51"/>
    </row>
    <row r="38" spans="1:17" x14ac:dyDescent="0.25">
      <c r="A38" s="14">
        <v>33</v>
      </c>
      <c r="B38" s="7">
        <f t="shared" si="0"/>
        <v>178.2</v>
      </c>
      <c r="C38" s="8">
        <v>66</v>
      </c>
      <c r="D38" s="9">
        <f t="shared" si="1"/>
        <v>211.2</v>
      </c>
      <c r="E38" s="10">
        <v>79.2</v>
      </c>
      <c r="F38" s="11">
        <f t="shared" si="2"/>
        <v>231</v>
      </c>
      <c r="G38" s="12">
        <v>85.8</v>
      </c>
      <c r="H38" s="13">
        <v>52.8</v>
      </c>
      <c r="I38" s="1"/>
      <c r="J38" s="46"/>
      <c r="K38" s="1"/>
      <c r="L38" s="1"/>
      <c r="M38" s="42"/>
      <c r="N38" s="1"/>
      <c r="O38" s="1"/>
      <c r="P38" s="1"/>
      <c r="Q38" s="1"/>
    </row>
    <row r="39" spans="1:17" x14ac:dyDescent="0.25">
      <c r="A39" s="14">
        <v>34</v>
      </c>
      <c r="B39" s="7">
        <f t="shared" si="0"/>
        <v>183.6</v>
      </c>
      <c r="C39" s="8">
        <v>68</v>
      </c>
      <c r="D39" s="9">
        <f t="shared" si="1"/>
        <v>217.6</v>
      </c>
      <c r="E39" s="10">
        <v>81.599999999999994</v>
      </c>
      <c r="F39" s="11">
        <f t="shared" si="2"/>
        <v>238</v>
      </c>
      <c r="G39" s="12">
        <v>88.4</v>
      </c>
      <c r="H39" s="13">
        <v>54.4</v>
      </c>
      <c r="I39" s="1"/>
      <c r="J39" s="46"/>
      <c r="K39" s="1"/>
      <c r="L39" s="1"/>
      <c r="M39" s="42"/>
      <c r="N39" s="1"/>
      <c r="O39" s="1"/>
      <c r="P39" s="1"/>
      <c r="Q39" s="1"/>
    </row>
    <row r="40" spans="1:17" x14ac:dyDescent="0.25">
      <c r="A40" s="14">
        <v>35</v>
      </c>
      <c r="B40" s="7">
        <f t="shared" si="0"/>
        <v>189</v>
      </c>
      <c r="C40" s="8">
        <v>70</v>
      </c>
      <c r="D40" s="9">
        <f t="shared" si="1"/>
        <v>224</v>
      </c>
      <c r="E40" s="10">
        <v>84</v>
      </c>
      <c r="F40" s="11">
        <f t="shared" si="2"/>
        <v>245</v>
      </c>
      <c r="G40" s="12">
        <v>91</v>
      </c>
      <c r="H40" s="13">
        <v>56</v>
      </c>
      <c r="I40" s="1"/>
      <c r="J40" s="47"/>
      <c r="K40" s="1"/>
      <c r="L40" s="1"/>
      <c r="M40" s="42"/>
      <c r="N40" s="1"/>
      <c r="O40" s="1"/>
      <c r="P40" s="1"/>
      <c r="Q40" s="1"/>
    </row>
    <row r="41" spans="1:17" x14ac:dyDescent="0.25">
      <c r="A41" s="14">
        <v>36</v>
      </c>
      <c r="B41" s="7">
        <f t="shared" si="0"/>
        <v>194.4</v>
      </c>
      <c r="C41" s="8">
        <v>72</v>
      </c>
      <c r="D41" s="9">
        <f t="shared" si="1"/>
        <v>230.4</v>
      </c>
      <c r="E41" s="10">
        <v>86.4</v>
      </c>
      <c r="F41" s="11">
        <f t="shared" si="2"/>
        <v>252</v>
      </c>
      <c r="G41" s="12">
        <v>93.6</v>
      </c>
      <c r="H41" s="13">
        <v>57.6</v>
      </c>
      <c r="I41" s="1"/>
      <c r="J41" s="46"/>
      <c r="K41" s="1"/>
      <c r="L41" s="1"/>
      <c r="M41" s="42"/>
      <c r="N41" s="1"/>
      <c r="O41" s="1"/>
      <c r="P41" s="1"/>
      <c r="Q41" s="1"/>
    </row>
    <row r="42" spans="1:17" ht="15.75" thickBot="1" x14ac:dyDescent="0.3">
      <c r="A42" s="48">
        <v>37</v>
      </c>
      <c r="B42" s="7">
        <f>SUM((A42*27)/5)</f>
        <v>199.8</v>
      </c>
      <c r="C42" s="8">
        <v>74</v>
      </c>
      <c r="D42" s="9">
        <f>SUM((A42*32)/5)</f>
        <v>236.8</v>
      </c>
      <c r="E42" s="10">
        <v>88.8</v>
      </c>
      <c r="F42" s="11">
        <f t="shared" si="2"/>
        <v>259</v>
      </c>
      <c r="G42" s="12">
        <v>96.2</v>
      </c>
      <c r="H42" s="13">
        <v>59.2</v>
      </c>
      <c r="I42" s="1"/>
      <c r="J42" s="46"/>
      <c r="K42" s="1"/>
      <c r="L42" s="1"/>
      <c r="M42" s="42"/>
      <c r="N42" s="1"/>
      <c r="O42" s="1"/>
      <c r="P42" s="1"/>
      <c r="Q42" s="1"/>
    </row>
  </sheetData>
  <mergeCells count="2">
    <mergeCell ref="A4:H4"/>
    <mergeCell ref="J4:K4"/>
  </mergeCells>
  <hyperlinks>
    <hyperlink ref="J37:Q37" r:id="rId1" display="Please find the guidance notes on how to adjust and employees leave entitlement in MyView here:  &lt;http://intranet/our-people/hr/resourcelink-myview/&gt;" xr:uid="{F95E5DD1-A503-42A8-884B-27E5B0C86FBF}"/>
    <hyperlink ref="J37:K37" r:id="rId2" display="Please find the guidance notes on how to adjust and employees leave entitlement in MyView here:  &lt;http://intranet/our-people/hr/resourcelink-myview/&gt;" xr:uid="{5BFCF818-F42C-4A6E-AC90-20988B09C085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AF95A-1CFE-471B-B21B-5126F1C7FBB2}">
  <dimension ref="A1:B62"/>
  <sheetViews>
    <sheetView tabSelected="1" topLeftCell="A24" workbookViewId="0">
      <selection activeCell="H33" sqref="H33"/>
    </sheetView>
  </sheetViews>
  <sheetFormatPr defaultRowHeight="15" x14ac:dyDescent="0.25"/>
  <cols>
    <col min="1" max="1" width="18.5703125" bestFit="1" customWidth="1"/>
    <col min="2" max="2" width="15.5703125" bestFit="1" customWidth="1"/>
  </cols>
  <sheetData>
    <row r="1" spans="1:2" ht="15.75" thickBot="1" x14ac:dyDescent="0.3">
      <c r="A1" s="79" t="s">
        <v>55</v>
      </c>
      <c r="B1" s="80" t="s">
        <v>56</v>
      </c>
    </row>
    <row r="2" spans="1:2" x14ac:dyDescent="0.25">
      <c r="A2" s="81">
        <v>60</v>
      </c>
      <c r="B2" s="82" t="s">
        <v>54</v>
      </c>
    </row>
    <row r="3" spans="1:2" x14ac:dyDescent="0.25">
      <c r="A3" s="81">
        <f>SUM(A2-1)</f>
        <v>59</v>
      </c>
      <c r="B3" s="83">
        <v>0.98</v>
      </c>
    </row>
    <row r="4" spans="1:2" x14ac:dyDescent="0.25">
      <c r="A4" s="81">
        <f t="shared" ref="A4:A62" si="0">SUM(A3-1)</f>
        <v>58</v>
      </c>
      <c r="B4" s="83">
        <v>0.96</v>
      </c>
    </row>
    <row r="5" spans="1:2" x14ac:dyDescent="0.25">
      <c r="A5" s="81">
        <f t="shared" si="0"/>
        <v>57</v>
      </c>
      <c r="B5" s="83">
        <v>0.95</v>
      </c>
    </row>
    <row r="6" spans="1:2" x14ac:dyDescent="0.25">
      <c r="A6" s="81">
        <f t="shared" si="0"/>
        <v>56</v>
      </c>
      <c r="B6" s="83">
        <v>0.93</v>
      </c>
    </row>
    <row r="7" spans="1:2" x14ac:dyDescent="0.25">
      <c r="A7" s="81">
        <f t="shared" si="0"/>
        <v>55</v>
      </c>
      <c r="B7" s="83">
        <v>0.91</v>
      </c>
    </row>
    <row r="8" spans="1:2" x14ac:dyDescent="0.25">
      <c r="A8" s="81">
        <f t="shared" si="0"/>
        <v>54</v>
      </c>
      <c r="B8" s="83">
        <v>0.9</v>
      </c>
    </row>
    <row r="9" spans="1:2" x14ac:dyDescent="0.25">
      <c r="A9" s="81">
        <f t="shared" si="0"/>
        <v>53</v>
      </c>
      <c r="B9" s="83">
        <v>0.88</v>
      </c>
    </row>
    <row r="10" spans="1:2" x14ac:dyDescent="0.25">
      <c r="A10" s="81">
        <f t="shared" si="0"/>
        <v>52</v>
      </c>
      <c r="B10" s="83">
        <v>0.86</v>
      </c>
    </row>
    <row r="11" spans="1:2" x14ac:dyDescent="0.25">
      <c r="A11" s="81">
        <f t="shared" si="0"/>
        <v>51</v>
      </c>
      <c r="B11" s="83">
        <v>0.85</v>
      </c>
    </row>
    <row r="12" spans="1:2" x14ac:dyDescent="0.25">
      <c r="A12" s="81">
        <f t="shared" si="0"/>
        <v>50</v>
      </c>
      <c r="B12" s="83">
        <v>0.83</v>
      </c>
    </row>
    <row r="13" spans="1:2" x14ac:dyDescent="0.25">
      <c r="A13" s="81">
        <f t="shared" si="0"/>
        <v>49</v>
      </c>
      <c r="B13" s="83">
        <v>0.81</v>
      </c>
    </row>
    <row r="14" spans="1:2" x14ac:dyDescent="0.25">
      <c r="A14" s="81">
        <f t="shared" si="0"/>
        <v>48</v>
      </c>
      <c r="B14" s="83">
        <v>0.8</v>
      </c>
    </row>
    <row r="15" spans="1:2" x14ac:dyDescent="0.25">
      <c r="A15" s="81">
        <f t="shared" si="0"/>
        <v>47</v>
      </c>
      <c r="B15" s="83">
        <v>0.78</v>
      </c>
    </row>
    <row r="16" spans="1:2" x14ac:dyDescent="0.25">
      <c r="A16" s="81">
        <f t="shared" si="0"/>
        <v>46</v>
      </c>
      <c r="B16" s="83">
        <v>0.76</v>
      </c>
    </row>
    <row r="17" spans="1:2" x14ac:dyDescent="0.25">
      <c r="A17" s="81">
        <f t="shared" si="0"/>
        <v>45</v>
      </c>
      <c r="B17" s="83">
        <v>0.75</v>
      </c>
    </row>
    <row r="18" spans="1:2" x14ac:dyDescent="0.25">
      <c r="A18" s="81">
        <f t="shared" si="0"/>
        <v>44</v>
      </c>
      <c r="B18" s="83">
        <v>0.73</v>
      </c>
    </row>
    <row r="19" spans="1:2" x14ac:dyDescent="0.25">
      <c r="A19" s="81">
        <f t="shared" si="0"/>
        <v>43</v>
      </c>
      <c r="B19" s="83">
        <v>0.71</v>
      </c>
    </row>
    <row r="20" spans="1:2" x14ac:dyDescent="0.25">
      <c r="A20" s="81">
        <f t="shared" si="0"/>
        <v>42</v>
      </c>
      <c r="B20" s="83">
        <v>0.7</v>
      </c>
    </row>
    <row r="21" spans="1:2" x14ac:dyDescent="0.25">
      <c r="A21" s="81">
        <f t="shared" si="0"/>
        <v>41</v>
      </c>
      <c r="B21" s="83">
        <v>0.68</v>
      </c>
    </row>
    <row r="22" spans="1:2" x14ac:dyDescent="0.25">
      <c r="A22" s="81">
        <f t="shared" si="0"/>
        <v>40</v>
      </c>
      <c r="B22" s="83">
        <v>0.66</v>
      </c>
    </row>
    <row r="23" spans="1:2" x14ac:dyDescent="0.25">
      <c r="A23" s="81">
        <f t="shared" si="0"/>
        <v>39</v>
      </c>
      <c r="B23" s="83">
        <v>0.65</v>
      </c>
    </row>
    <row r="24" spans="1:2" x14ac:dyDescent="0.25">
      <c r="A24" s="81">
        <f t="shared" si="0"/>
        <v>38</v>
      </c>
      <c r="B24" s="83">
        <v>0.63</v>
      </c>
    </row>
    <row r="25" spans="1:2" x14ac:dyDescent="0.25">
      <c r="A25" s="81">
        <f t="shared" si="0"/>
        <v>37</v>
      </c>
      <c r="B25" s="83">
        <v>0.61</v>
      </c>
    </row>
    <row r="26" spans="1:2" x14ac:dyDescent="0.25">
      <c r="A26" s="81">
        <f t="shared" si="0"/>
        <v>36</v>
      </c>
      <c r="B26" s="83">
        <v>0.6</v>
      </c>
    </row>
    <row r="27" spans="1:2" x14ac:dyDescent="0.25">
      <c r="A27" s="81">
        <f t="shared" si="0"/>
        <v>35</v>
      </c>
      <c r="B27" s="83">
        <v>0.57999999999999996</v>
      </c>
    </row>
    <row r="28" spans="1:2" x14ac:dyDescent="0.25">
      <c r="A28" s="81">
        <f t="shared" si="0"/>
        <v>34</v>
      </c>
      <c r="B28" s="83">
        <v>0.56000000000000005</v>
      </c>
    </row>
    <row r="29" spans="1:2" x14ac:dyDescent="0.25">
      <c r="A29" s="81">
        <f t="shared" si="0"/>
        <v>33</v>
      </c>
      <c r="B29" s="83">
        <v>0.55000000000000004</v>
      </c>
    </row>
    <row r="30" spans="1:2" x14ac:dyDescent="0.25">
      <c r="A30" s="81">
        <f t="shared" si="0"/>
        <v>32</v>
      </c>
      <c r="B30" s="83">
        <v>0.53</v>
      </c>
    </row>
    <row r="31" spans="1:2" x14ac:dyDescent="0.25">
      <c r="A31" s="81">
        <f t="shared" si="0"/>
        <v>31</v>
      </c>
      <c r="B31" s="83">
        <v>0.51</v>
      </c>
    </row>
    <row r="32" spans="1:2" x14ac:dyDescent="0.25">
      <c r="A32" s="81">
        <f t="shared" si="0"/>
        <v>30</v>
      </c>
      <c r="B32" s="83">
        <v>0.5</v>
      </c>
    </row>
    <row r="33" spans="1:2" x14ac:dyDescent="0.25">
      <c r="A33" s="81">
        <f t="shared" si="0"/>
        <v>29</v>
      </c>
      <c r="B33" s="83">
        <v>0.48</v>
      </c>
    </row>
    <row r="34" spans="1:2" x14ac:dyDescent="0.25">
      <c r="A34" s="81">
        <f t="shared" si="0"/>
        <v>28</v>
      </c>
      <c r="B34" s="83">
        <v>0.46</v>
      </c>
    </row>
    <row r="35" spans="1:2" x14ac:dyDescent="0.25">
      <c r="A35" s="81">
        <f t="shared" si="0"/>
        <v>27</v>
      </c>
      <c r="B35" s="83">
        <v>0.45</v>
      </c>
    </row>
    <row r="36" spans="1:2" x14ac:dyDescent="0.25">
      <c r="A36" s="81">
        <f t="shared" si="0"/>
        <v>26</v>
      </c>
      <c r="B36" s="83">
        <v>0.43</v>
      </c>
    </row>
    <row r="37" spans="1:2" x14ac:dyDescent="0.25">
      <c r="A37" s="81">
        <f t="shared" si="0"/>
        <v>25</v>
      </c>
      <c r="B37" s="83">
        <v>0.41</v>
      </c>
    </row>
    <row r="38" spans="1:2" x14ac:dyDescent="0.25">
      <c r="A38" s="81">
        <f t="shared" si="0"/>
        <v>24</v>
      </c>
      <c r="B38" s="83">
        <v>0.4</v>
      </c>
    </row>
    <row r="39" spans="1:2" x14ac:dyDescent="0.25">
      <c r="A39" s="81">
        <f t="shared" si="0"/>
        <v>23</v>
      </c>
      <c r="B39" s="83">
        <v>0.38</v>
      </c>
    </row>
    <row r="40" spans="1:2" x14ac:dyDescent="0.25">
      <c r="A40" s="81">
        <f t="shared" si="0"/>
        <v>22</v>
      </c>
      <c r="B40" s="83">
        <v>0.36</v>
      </c>
    </row>
    <row r="41" spans="1:2" x14ac:dyDescent="0.25">
      <c r="A41" s="81">
        <f t="shared" si="0"/>
        <v>21</v>
      </c>
      <c r="B41" s="83">
        <v>0.35</v>
      </c>
    </row>
    <row r="42" spans="1:2" x14ac:dyDescent="0.25">
      <c r="A42" s="81">
        <f t="shared" si="0"/>
        <v>20</v>
      </c>
      <c r="B42" s="83">
        <v>0.33</v>
      </c>
    </row>
    <row r="43" spans="1:2" x14ac:dyDescent="0.25">
      <c r="A43" s="81">
        <f t="shared" si="0"/>
        <v>19</v>
      </c>
      <c r="B43" s="83">
        <v>0.31</v>
      </c>
    </row>
    <row r="44" spans="1:2" x14ac:dyDescent="0.25">
      <c r="A44" s="81">
        <f t="shared" si="0"/>
        <v>18</v>
      </c>
      <c r="B44" s="83">
        <v>0.3</v>
      </c>
    </row>
    <row r="45" spans="1:2" x14ac:dyDescent="0.25">
      <c r="A45" s="81">
        <f t="shared" si="0"/>
        <v>17</v>
      </c>
      <c r="B45" s="83">
        <v>0.28000000000000003</v>
      </c>
    </row>
    <row r="46" spans="1:2" x14ac:dyDescent="0.25">
      <c r="A46" s="81">
        <f t="shared" si="0"/>
        <v>16</v>
      </c>
      <c r="B46" s="83">
        <v>0.26</v>
      </c>
    </row>
    <row r="47" spans="1:2" x14ac:dyDescent="0.25">
      <c r="A47" s="81">
        <f t="shared" si="0"/>
        <v>15</v>
      </c>
      <c r="B47" s="83">
        <v>0.25</v>
      </c>
    </row>
    <row r="48" spans="1:2" x14ac:dyDescent="0.25">
      <c r="A48" s="81">
        <f t="shared" si="0"/>
        <v>14</v>
      </c>
      <c r="B48" s="83">
        <v>0.23</v>
      </c>
    </row>
    <row r="49" spans="1:2" x14ac:dyDescent="0.25">
      <c r="A49" s="81">
        <f t="shared" si="0"/>
        <v>13</v>
      </c>
      <c r="B49" s="83">
        <v>0.21</v>
      </c>
    </row>
    <row r="50" spans="1:2" x14ac:dyDescent="0.25">
      <c r="A50" s="81">
        <f t="shared" si="0"/>
        <v>12</v>
      </c>
      <c r="B50" s="83">
        <v>0.2</v>
      </c>
    </row>
    <row r="51" spans="1:2" x14ac:dyDescent="0.25">
      <c r="A51" s="81">
        <f t="shared" si="0"/>
        <v>11</v>
      </c>
      <c r="B51" s="83">
        <v>0.18</v>
      </c>
    </row>
    <row r="52" spans="1:2" x14ac:dyDescent="0.25">
      <c r="A52" s="81">
        <f t="shared" si="0"/>
        <v>10</v>
      </c>
      <c r="B52" s="83">
        <v>0.16</v>
      </c>
    </row>
    <row r="53" spans="1:2" x14ac:dyDescent="0.25">
      <c r="A53" s="81">
        <f t="shared" si="0"/>
        <v>9</v>
      </c>
      <c r="B53" s="83">
        <v>0.15</v>
      </c>
    </row>
    <row r="54" spans="1:2" x14ac:dyDescent="0.25">
      <c r="A54" s="81">
        <f t="shared" si="0"/>
        <v>8</v>
      </c>
      <c r="B54" s="83">
        <v>0.13</v>
      </c>
    </row>
    <row r="55" spans="1:2" x14ac:dyDescent="0.25">
      <c r="A55" s="81">
        <f t="shared" si="0"/>
        <v>7</v>
      </c>
      <c r="B55" s="83">
        <v>0.11</v>
      </c>
    </row>
    <row r="56" spans="1:2" x14ac:dyDescent="0.25">
      <c r="A56" s="81">
        <f t="shared" si="0"/>
        <v>6</v>
      </c>
      <c r="B56" s="83">
        <v>0.1</v>
      </c>
    </row>
    <row r="57" spans="1:2" x14ac:dyDescent="0.25">
      <c r="A57" s="81">
        <f t="shared" si="0"/>
        <v>5</v>
      </c>
      <c r="B57" s="83">
        <v>0.08</v>
      </c>
    </row>
    <row r="58" spans="1:2" x14ac:dyDescent="0.25">
      <c r="A58" s="81">
        <f t="shared" si="0"/>
        <v>4</v>
      </c>
      <c r="B58" s="83">
        <v>0.06</v>
      </c>
    </row>
    <row r="59" spans="1:2" x14ac:dyDescent="0.25">
      <c r="A59" s="81">
        <f t="shared" si="0"/>
        <v>3</v>
      </c>
      <c r="B59" s="83">
        <v>0.05</v>
      </c>
    </row>
    <row r="60" spans="1:2" x14ac:dyDescent="0.25">
      <c r="A60" s="81">
        <f t="shared" si="0"/>
        <v>2</v>
      </c>
      <c r="B60" s="83">
        <v>0.03</v>
      </c>
    </row>
    <row r="61" spans="1:2" x14ac:dyDescent="0.25">
      <c r="A61" s="81">
        <f t="shared" si="0"/>
        <v>1</v>
      </c>
      <c r="B61" s="83">
        <v>0.01</v>
      </c>
    </row>
    <row r="62" spans="1:2" ht="15.75" thickBot="1" x14ac:dyDescent="0.3">
      <c r="A62" s="81">
        <f t="shared" si="0"/>
        <v>0</v>
      </c>
      <c r="B62" s="84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2d0c5be-ef18-446e-9ad8-b76b42ded427">
      <Terms xmlns="http://schemas.microsoft.com/office/infopath/2007/PartnerControls"/>
    </lcf76f155ced4ddcb4097134ff3c332f>
    <TaxCatchAll xmlns="2fc2a8c7-3b3f-4409-bc78-aa40538e7eb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64AD8FE8350742ADCBDAB2764E4C06" ma:contentTypeVersion="16" ma:contentTypeDescription="Create a new document." ma:contentTypeScope="" ma:versionID="4db519e4c9598b83a563a345cae54a1b">
  <xsd:schema xmlns:xsd="http://www.w3.org/2001/XMLSchema" xmlns:xs="http://www.w3.org/2001/XMLSchema" xmlns:p="http://schemas.microsoft.com/office/2006/metadata/properties" xmlns:ns2="c6e5c394-54dd-46f3-a32c-99ea1dc187c2" xmlns:ns3="e2d0c5be-ef18-446e-9ad8-b76b42ded427" xmlns:ns4="2fc2a8c7-3b3f-4409-bc78-aa40538e7eb1" targetNamespace="http://schemas.microsoft.com/office/2006/metadata/properties" ma:root="true" ma:fieldsID="877c68579f2dbc99da0aa969e35b4fc6" ns2:_="" ns3:_="" ns4:_="">
    <xsd:import namespace="c6e5c394-54dd-46f3-a32c-99ea1dc187c2"/>
    <xsd:import namespace="e2d0c5be-ef18-446e-9ad8-b76b42ded427"/>
    <xsd:import namespace="2fc2a8c7-3b3f-4409-bc78-aa40538e7eb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4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e5c394-54dd-46f3-a32c-99ea1dc187c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d0c5be-ef18-446e-9ad8-b76b42ded4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b820720-3cae-4e0f-87a0-a0b1591a73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c2a8c7-3b3f-4409-bc78-aa40538e7eb1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01a229ed-8491-4a6d-bb3c-f7967ac7ed17}" ma:internalName="TaxCatchAll" ma:showField="CatchAllData" ma:web="c6e5c394-54dd-46f3-a32c-99ea1dc187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421202-A63D-4F3D-8E0E-90D1C80EBE96}">
  <ds:schemaRefs>
    <ds:schemaRef ds:uri="2fc2a8c7-3b3f-4409-bc78-aa40538e7eb1"/>
    <ds:schemaRef ds:uri="http://purl.org/dc/terms/"/>
    <ds:schemaRef ds:uri="http://schemas.microsoft.com/office/2006/documentManagement/types"/>
    <ds:schemaRef ds:uri="c6e5c394-54dd-46f3-a32c-99ea1dc187c2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e2d0c5be-ef18-446e-9ad8-b76b42ded42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7389533-2315-4D2B-921C-FECF745A992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C5F233-9E74-45F7-A94C-AD45EA3DD4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e5c394-54dd-46f3-a32c-99ea1dc187c2"/>
    <ds:schemaRef ds:uri="e2d0c5be-ef18-446e-9ad8-b76b42ded427"/>
    <ds:schemaRef ds:uri="2fc2a8c7-3b3f-4409-bc78-aa40538e7e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Salwch dros 1 flynedd o wyliau</vt:lpstr>
      <vt:lpstr>Salwch dros 2 flynedd o wyliau</vt:lpstr>
      <vt:lpstr>Canllaw Munudau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M Evans (HR)</dc:creator>
  <cp:lastModifiedBy>Rebecca M Evans (HR)</cp:lastModifiedBy>
  <dcterms:created xsi:type="dcterms:W3CDTF">2023-12-12T11:17:09Z</dcterms:created>
  <dcterms:modified xsi:type="dcterms:W3CDTF">2024-01-09T14:48:07Z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0x010100AD64AD8FE8350742ADCBDAB2764E4C06</vt:lpwstr>
  </property>
</Properties>
</file>